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codeName="ThisWorkbook" defaultThemeVersion="124226"/>
  <mc:AlternateContent xmlns:mc="http://schemas.openxmlformats.org/markup-compatibility/2006">
    <mc:Choice Requires="x15">
      <x15ac:absPath xmlns:x15ac="http://schemas.microsoft.com/office/spreadsheetml/2010/11/ac" url="\\anfh.fr\Services\Aquitaine\0 - NEWSLETTER ET EVENEMENTS\2025\3_MARS\Pièces jointes\pour article appel à dossiers GB GV\"/>
    </mc:Choice>
  </mc:AlternateContent>
  <xr:revisionPtr revIDLastSave="0" documentId="13_ncr:1_{A1201897-9765-4DA8-AA96-4805699B15E3}" xr6:coauthVersionLast="47" xr6:coauthVersionMax="47" xr10:uidLastSave="{00000000-0000-0000-0000-000000000000}"/>
  <workbookProtection workbookAlgorithmName="SHA-512" workbookHashValue="ROuLC2eKcmj2KjjgRF9uHPvG7DK3l08xbsgVB4uecILiXJVT4mlGYR6K2BMlFU5+3SPwzK7oLm3UJOToxCP/WA==" workbookSaltValue="rPWDJ6C4rIqfKhQOUMtmgg==" workbookSpinCount="100000" lockStructure="1"/>
  <bookViews>
    <workbookView xWindow="-108" yWindow="-108" windowWidth="23256" windowHeight="12576" tabRatio="926" firstSheet="1" activeTab="1" xr2:uid="{00000000-000D-0000-FFFF-FFFF00000000}"/>
  </bookViews>
  <sheets>
    <sheet name="Politique" sheetId="6" r:id="rId1"/>
    <sheet name="DAPEC" sheetId="4" r:id="rId2"/>
    <sheet name="CPF" sheetId="28" r:id="rId3"/>
    <sheet name="Déplacement Forfait" sheetId="40" r:id="rId4"/>
    <sheet name="Déplacement 2025" sheetId="7" r:id="rId5"/>
    <sheet name="Déplacement 2026" sheetId="36" r:id="rId6"/>
    <sheet name="Déplacement 2027" sheetId="37" r:id="rId7"/>
    <sheet name="Déplacement 2028" sheetId="38" r:id="rId8"/>
    <sheet name="Traitement" sheetId="30" r:id="rId9"/>
    <sheet name="Enseignement" sheetId="16" r:id="rId10"/>
    <sheet name="Répartition financière" sheetId="21" r:id="rId11"/>
  </sheets>
  <definedNames>
    <definedName name="_125___EHPAD_SALIES_DE_BEARN" localSheetId="2">#REF!</definedName>
    <definedName name="_125___EHPAD_SALIES_DE_BEARN" localSheetId="3">#REF!</definedName>
    <definedName name="_125___EHPAD_SALIES_DE_BEARN" localSheetId="8">#REF!</definedName>
    <definedName name="_125___EHPAD_SALIES_DE_BEARN">#REF!</definedName>
    <definedName name="Priorité" localSheetId="2">CPF!$F$1</definedName>
    <definedName name="Priorité">DAPEC!$E$2</definedName>
    <definedName name="SELECTIONNER_VOTRE_ETABLISSEMENT_DANS_LA_LISTE" localSheetId="2">CPF!#REF!</definedName>
    <definedName name="SELECTIONNER_VOTRE_ETABLISSEMENT_DANS_LA_LISTE">DAPEC!$A$3</definedName>
    <definedName name="_xlnm.Print_Area" localSheetId="2">CPF!$A$1:$F$66</definedName>
    <definedName name="_xlnm.Print_Area" localSheetId="1">DAPEC!$A$1:$F$38</definedName>
    <definedName name="_xlnm.Print_Area" localSheetId="4">'Déplacement 2025'!$A$1:$P$46</definedName>
    <definedName name="_xlnm.Print_Area" localSheetId="5">'Déplacement 2026'!$A$1:$P$46</definedName>
    <definedName name="_xlnm.Print_Area" localSheetId="6">'Déplacement 2027'!$A$1:$P$46</definedName>
    <definedName name="_xlnm.Print_Area" localSheetId="7">'Déplacement 2028'!$A$1:$P$46</definedName>
    <definedName name="_xlnm.Print_Area" localSheetId="3">'Déplacement Forfait'!$A$1:$R$14</definedName>
    <definedName name="_xlnm.Print_Area" localSheetId="9">Enseignement!$A$1:$F$27</definedName>
    <definedName name="_xlnm.Print_Area" localSheetId="0">Politique!$A$1:$D$73</definedName>
    <definedName name="_xlnm.Print_Area" localSheetId="10">'Répartition financière'!$A$1:$G$52</definedName>
    <definedName name="_xlnm.Print_Area" localSheetId="8">Traitement!$A$1:$K$33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4" l="1"/>
  <c r="H6" i="21" l="1"/>
  <c r="I3" i="7"/>
  <c r="A7" i="4"/>
  <c r="A2" i="40"/>
  <c r="H8" i="21"/>
  <c r="A10" i="40"/>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41" i="4"/>
  <c r="B4" i="4"/>
  <c r="A20" i="21" s="1"/>
  <c r="G2" i="4"/>
  <c r="I3" i="38" l="1"/>
  <c r="I3" i="37"/>
  <c r="I3" i="36"/>
  <c r="F6" i="40"/>
  <c r="A8" i="40"/>
  <c r="A7" i="40"/>
  <c r="A9" i="40"/>
  <c r="A11" i="40"/>
  <c r="A14" i="40"/>
  <c r="K6" i="21"/>
  <c r="J6" i="21"/>
  <c r="I6" i="21"/>
  <c r="G3" i="4"/>
  <c r="A3" i="40"/>
  <c r="M6" i="40"/>
  <c r="A5" i="40"/>
  <c r="F5" i="40"/>
  <c r="K4" i="40"/>
  <c r="A6" i="40"/>
  <c r="A4" i="40"/>
  <c r="D6" i="40" l="1"/>
  <c r="H12" i="21"/>
  <c r="H16" i="21"/>
  <c r="H14" i="21"/>
  <c r="H13" i="21"/>
  <c r="H15" i="21"/>
  <c r="C11" i="21" l="1"/>
  <c r="D11" i="21"/>
  <c r="E11" i="21"/>
  <c r="G15" i="4"/>
  <c r="G9" i="4"/>
  <c r="G11" i="21" l="1"/>
  <c r="F10" i="16"/>
  <c r="N90" i="30"/>
  <c r="N89" i="30"/>
  <c r="N87" i="30"/>
  <c r="N86" i="30"/>
  <c r="N85" i="30"/>
  <c r="N84" i="30"/>
  <c r="N83" i="30"/>
  <c r="N82" i="30"/>
  <c r="N80" i="30"/>
  <c r="N79" i="30"/>
  <c r="N78" i="30"/>
  <c r="N77" i="30"/>
  <c r="N76" i="30"/>
  <c r="N75" i="30"/>
  <c r="N70" i="30"/>
  <c r="N68" i="30"/>
  <c r="N67" i="30"/>
  <c r="N65" i="30"/>
  <c r="N64" i="30"/>
  <c r="N88" i="30"/>
  <c r="N81" i="30"/>
  <c r="N72" i="30"/>
  <c r="N69" i="30"/>
  <c r="N66" i="30"/>
  <c r="N94" i="30"/>
  <c r="N92" i="30"/>
  <c r="N93" i="30" l="1"/>
  <c r="N71" i="30"/>
  <c r="N73" i="30"/>
  <c r="N74" i="30"/>
  <c r="N91" i="30"/>
  <c r="N95" i="30" l="1"/>
  <c r="H11" i="21"/>
  <c r="H10" i="21"/>
  <c r="H9" i="21"/>
  <c r="H18" i="21"/>
  <c r="R26" i="40"/>
  <c r="K63" i="30" l="1"/>
  <c r="P9" i="38"/>
  <c r="J9" i="38"/>
  <c r="E9" i="38"/>
  <c r="P8" i="38"/>
  <c r="J8" i="38"/>
  <c r="E8" i="38"/>
  <c r="P8" i="37"/>
  <c r="P9" i="37"/>
  <c r="P9" i="36"/>
  <c r="P8" i="36"/>
  <c r="J8" i="36"/>
  <c r="J9" i="37"/>
  <c r="E9" i="37"/>
  <c r="J8" i="37"/>
  <c r="E8" i="37"/>
  <c r="J9" i="36"/>
  <c r="E8" i="36"/>
  <c r="E9" i="36"/>
  <c r="K15" i="40"/>
  <c r="N43" i="40" s="1"/>
  <c r="B14" i="40" s="1"/>
  <c r="P45" i="40"/>
  <c r="D14" i="40"/>
  <c r="E14" i="40" s="1"/>
  <c r="N46" i="40"/>
  <c r="N45" i="40"/>
  <c r="R36" i="40"/>
  <c r="R37" i="40"/>
  <c r="R34" i="40"/>
  <c r="R32" i="40"/>
  <c r="R31" i="40"/>
  <c r="R27" i="40"/>
  <c r="R28" i="40"/>
  <c r="C14" i="40" l="1"/>
  <c r="Q43" i="40"/>
  <c r="H14" i="40" s="1"/>
  <c r="I14" i="40" s="1"/>
  <c r="R45" i="40"/>
  <c r="P44" i="40"/>
  <c r="N44" i="40"/>
  <c r="P46" i="40"/>
  <c r="O44" i="40"/>
  <c r="J17" i="21"/>
  <c r="R25" i="40"/>
  <c r="R23" i="40"/>
  <c r="R24" i="40"/>
  <c r="R21" i="40"/>
  <c r="R17" i="40"/>
  <c r="R43" i="40" l="1"/>
  <c r="F14" i="40"/>
  <c r="R46" i="40"/>
  <c r="R44" i="40"/>
  <c r="H17" i="21"/>
  <c r="I17" i="21"/>
  <c r="K18" i="21"/>
  <c r="K15" i="21"/>
  <c r="K13" i="21"/>
  <c r="K14" i="21"/>
  <c r="K16" i="21"/>
  <c r="K12" i="21"/>
  <c r="J16" i="21"/>
  <c r="J15" i="21"/>
  <c r="J13" i="21"/>
  <c r="J14" i="21"/>
  <c r="J12" i="21"/>
  <c r="I16" i="21"/>
  <c r="I12" i="21"/>
  <c r="I15" i="21"/>
  <c r="I13" i="21"/>
  <c r="I14" i="21"/>
  <c r="K11" i="21"/>
  <c r="J10" i="21"/>
  <c r="J11" i="21"/>
  <c r="I10" i="21"/>
  <c r="I11" i="21"/>
  <c r="K10" i="21"/>
  <c r="K9" i="21"/>
  <c r="I8" i="21"/>
  <c r="I9" i="21"/>
  <c r="J8" i="21"/>
  <c r="J9" i="21"/>
  <c r="K8" i="21"/>
  <c r="R19" i="40"/>
  <c r="R20" i="40"/>
  <c r="R22" i="40"/>
  <c r="G14" i="40" l="1"/>
  <c r="K14" i="40" s="1"/>
  <c r="J14" i="40"/>
  <c r="L6" i="40"/>
  <c r="A12" i="40" s="1"/>
  <c r="J18" i="21"/>
  <c r="I18" i="21"/>
  <c r="A3" i="30" l="1"/>
  <c r="A5" i="30" l="1"/>
  <c r="F5" i="30"/>
  <c r="O45" i="38" l="1"/>
  <c r="N45" i="38"/>
  <c r="D44" i="38"/>
  <c r="K44" i="38" s="1"/>
  <c r="J43" i="38"/>
  <c r="E43" i="38"/>
  <c r="G43" i="38" s="1"/>
  <c r="D43" i="38"/>
  <c r="J38" i="38"/>
  <c r="K38" i="38" s="1"/>
  <c r="H36" i="38"/>
  <c r="J36" i="38" s="1"/>
  <c r="E36" i="38"/>
  <c r="G36" i="38" s="1"/>
  <c r="K36" i="38" s="1"/>
  <c r="H35" i="38"/>
  <c r="J35" i="38" s="1"/>
  <c r="E35" i="38"/>
  <c r="G35" i="38" s="1"/>
  <c r="K35" i="38" s="1"/>
  <c r="H34" i="38"/>
  <c r="J34" i="38" s="1"/>
  <c r="E34" i="38"/>
  <c r="G34" i="38" s="1"/>
  <c r="K34" i="38" s="1"/>
  <c r="P33" i="38"/>
  <c r="P34" i="38" s="1"/>
  <c r="P35" i="38" s="1"/>
  <c r="P36" i="38" s="1"/>
  <c r="P37" i="38" s="1"/>
  <c r="P38" i="38" s="1"/>
  <c r="P39" i="38" s="1"/>
  <c r="P40" i="38" s="1"/>
  <c r="P41" i="38" s="1"/>
  <c r="P42" i="38" s="1"/>
  <c r="P43" i="38" s="1"/>
  <c r="P44" i="38" s="1"/>
  <c r="P45" i="38" s="1"/>
  <c r="J33" i="38"/>
  <c r="E33" i="38"/>
  <c r="G33" i="38" s="1"/>
  <c r="K33" i="38" s="1"/>
  <c r="K39" i="38" s="1"/>
  <c r="N28" i="38"/>
  <c r="J27" i="38"/>
  <c r="K27" i="38" s="1"/>
  <c r="J26" i="38"/>
  <c r="K26" i="38" s="1"/>
  <c r="J25" i="38"/>
  <c r="K25" i="38" s="1"/>
  <c r="J24" i="38"/>
  <c r="K24" i="38" s="1"/>
  <c r="J22" i="38"/>
  <c r="G22" i="38"/>
  <c r="K22" i="38" s="1"/>
  <c r="J21" i="38"/>
  <c r="G21" i="38"/>
  <c r="C11" i="38"/>
  <c r="A3" i="38"/>
  <c r="O45" i="37"/>
  <c r="N45" i="37"/>
  <c r="D44" i="37"/>
  <c r="K44" i="37" s="1"/>
  <c r="J43" i="37"/>
  <c r="E43" i="37"/>
  <c r="G43" i="37" s="1"/>
  <c r="D43" i="37"/>
  <c r="J38" i="37"/>
  <c r="K38" i="37" s="1"/>
  <c r="H36" i="37"/>
  <c r="J36" i="37" s="1"/>
  <c r="E36" i="37"/>
  <c r="G36" i="37" s="1"/>
  <c r="K36" i="37" s="1"/>
  <c r="H35" i="37"/>
  <c r="J35" i="37" s="1"/>
  <c r="E35" i="37"/>
  <c r="G35" i="37" s="1"/>
  <c r="K35" i="37" s="1"/>
  <c r="H34" i="37"/>
  <c r="J34" i="37" s="1"/>
  <c r="E34" i="37"/>
  <c r="G34" i="37" s="1"/>
  <c r="K34" i="37" s="1"/>
  <c r="P33" i="37"/>
  <c r="P34" i="37" s="1"/>
  <c r="P35" i="37" s="1"/>
  <c r="P36" i="37" s="1"/>
  <c r="P37" i="37" s="1"/>
  <c r="P38" i="37" s="1"/>
  <c r="P39" i="37" s="1"/>
  <c r="P40" i="37" s="1"/>
  <c r="P41" i="37" s="1"/>
  <c r="P42" i="37" s="1"/>
  <c r="P43" i="37" s="1"/>
  <c r="P44" i="37" s="1"/>
  <c r="P45" i="37" s="1"/>
  <c r="J33" i="37"/>
  <c r="E33" i="37"/>
  <c r="G33" i="37" s="1"/>
  <c r="K33" i="37" s="1"/>
  <c r="K39" i="37" s="1"/>
  <c r="N28" i="37"/>
  <c r="J27" i="37"/>
  <c r="K27" i="37" s="1"/>
  <c r="J26" i="37"/>
  <c r="K26" i="37" s="1"/>
  <c r="J25" i="37"/>
  <c r="K25" i="37" s="1"/>
  <c r="J24" i="37"/>
  <c r="K24" i="37" s="1"/>
  <c r="J22" i="37"/>
  <c r="G22" i="37"/>
  <c r="K22" i="37" s="1"/>
  <c r="J21" i="37"/>
  <c r="G21" i="37"/>
  <c r="C11" i="37"/>
  <c r="A3" i="37"/>
  <c r="C11" i="36"/>
  <c r="I15" i="38" l="1"/>
  <c r="J15" i="38" s="1"/>
  <c r="F15" i="38"/>
  <c r="G15" i="38" s="1"/>
  <c r="C15" i="38"/>
  <c r="D15" i="38" s="1"/>
  <c r="K21" i="38"/>
  <c r="K28" i="38" s="1"/>
  <c r="K43" i="38"/>
  <c r="K45" i="38" s="1"/>
  <c r="I15" i="37"/>
  <c r="J15" i="37" s="1"/>
  <c r="F15" i="37"/>
  <c r="G15" i="37" s="1"/>
  <c r="C15" i="37"/>
  <c r="D15" i="37" s="1"/>
  <c r="K21" i="37"/>
  <c r="K28" i="37" s="1"/>
  <c r="K43" i="37"/>
  <c r="K45" i="37" s="1"/>
  <c r="K15" i="38" l="1"/>
  <c r="K15" i="37"/>
  <c r="O45" i="36" l="1"/>
  <c r="N45" i="36"/>
  <c r="D44" i="36"/>
  <c r="K44" i="36" s="1"/>
  <c r="J43" i="36"/>
  <c r="E43" i="36"/>
  <c r="G43" i="36" s="1"/>
  <c r="D43" i="36"/>
  <c r="J38" i="36"/>
  <c r="K38" i="36" s="1"/>
  <c r="H36" i="36"/>
  <c r="J36" i="36" s="1"/>
  <c r="E36" i="36"/>
  <c r="G36" i="36" s="1"/>
  <c r="K36" i="36" s="1"/>
  <c r="H35" i="36"/>
  <c r="J35" i="36" s="1"/>
  <c r="E35" i="36"/>
  <c r="G35" i="36" s="1"/>
  <c r="K35" i="36" s="1"/>
  <c r="H34" i="36"/>
  <c r="J34" i="36" s="1"/>
  <c r="E34" i="36"/>
  <c r="G34" i="36" s="1"/>
  <c r="K34" i="36" s="1"/>
  <c r="P33" i="36"/>
  <c r="P34" i="36" s="1"/>
  <c r="P35" i="36" s="1"/>
  <c r="P36" i="36" s="1"/>
  <c r="P37" i="36" s="1"/>
  <c r="P38" i="36" s="1"/>
  <c r="P39" i="36" s="1"/>
  <c r="P40" i="36" s="1"/>
  <c r="P41" i="36" s="1"/>
  <c r="P42" i="36" s="1"/>
  <c r="P43" i="36" s="1"/>
  <c r="P44" i="36" s="1"/>
  <c r="P45" i="36" s="1"/>
  <c r="J33" i="36"/>
  <c r="E33" i="36"/>
  <c r="G33" i="36" s="1"/>
  <c r="K33" i="36" s="1"/>
  <c r="K39" i="36" s="1"/>
  <c r="N28" i="36"/>
  <c r="J27" i="36"/>
  <c r="K27" i="36" s="1"/>
  <c r="J26" i="36"/>
  <c r="K26" i="36" s="1"/>
  <c r="J25" i="36"/>
  <c r="K25" i="36" s="1"/>
  <c r="J24" i="36"/>
  <c r="K24" i="36" s="1"/>
  <c r="J22" i="36"/>
  <c r="G22" i="36"/>
  <c r="K22" i="36" s="1"/>
  <c r="J21" i="36"/>
  <c r="G21" i="36"/>
  <c r="I15" i="36"/>
  <c r="J15" i="36" s="1"/>
  <c r="F15" i="36"/>
  <c r="G15" i="36" s="1"/>
  <c r="C15" i="36"/>
  <c r="D15" i="36" s="1"/>
  <c r="A3" i="36"/>
  <c r="G11" i="4"/>
  <c r="P10" i="7"/>
  <c r="C8" i="30"/>
  <c r="A7" i="30"/>
  <c r="G13" i="4"/>
  <c r="J21" i="30" l="1"/>
  <c r="I22" i="30"/>
  <c r="I21" i="30"/>
  <c r="G21" i="30"/>
  <c r="F22" i="30"/>
  <c r="F21" i="30"/>
  <c r="D22" i="30"/>
  <c r="D21" i="30"/>
  <c r="C22" i="30"/>
  <c r="C21" i="30"/>
  <c r="A21" i="30"/>
  <c r="A22" i="30"/>
  <c r="G22" i="30"/>
  <c r="A19" i="30"/>
  <c r="A25" i="30"/>
  <c r="J8" i="30"/>
  <c r="A10" i="30" s="1"/>
  <c r="A14" i="30"/>
  <c r="P10" i="38"/>
  <c r="P10" i="37"/>
  <c r="P10" i="36"/>
  <c r="F10" i="30"/>
  <c r="K8" i="30"/>
  <c r="O27" i="36"/>
  <c r="O26" i="36"/>
  <c r="O25" i="36"/>
  <c r="O24" i="36"/>
  <c r="O23" i="36"/>
  <c r="O22" i="36"/>
  <c r="O21" i="36"/>
  <c r="O20" i="36"/>
  <c r="O19" i="36"/>
  <c r="O18" i="36"/>
  <c r="O17" i="36"/>
  <c r="O16" i="36"/>
  <c r="K15" i="36"/>
  <c r="K21" i="36"/>
  <c r="K28" i="36" s="1"/>
  <c r="K43" i="36"/>
  <c r="K45" i="36" s="1"/>
  <c r="P33" i="7"/>
  <c r="P34" i="7" s="1"/>
  <c r="P35" i="7" s="1"/>
  <c r="P36" i="7" s="1"/>
  <c r="P37" i="7" s="1"/>
  <c r="P38" i="7" s="1"/>
  <c r="P39" i="7" s="1"/>
  <c r="P40" i="7" s="1"/>
  <c r="P41" i="7" s="1"/>
  <c r="P42" i="7" s="1"/>
  <c r="P43" i="7" s="1"/>
  <c r="P44" i="7" s="1"/>
  <c r="O45" i="7"/>
  <c r="N45" i="7"/>
  <c r="D44" i="7"/>
  <c r="K44" i="7" s="1"/>
  <c r="J43" i="7"/>
  <c r="E43" i="7"/>
  <c r="G43" i="7" s="1"/>
  <c r="D43" i="7"/>
  <c r="J38" i="7"/>
  <c r="K38" i="7" s="1"/>
  <c r="H36" i="7"/>
  <c r="J36" i="7" s="1"/>
  <c r="E36" i="7"/>
  <c r="G36" i="7" s="1"/>
  <c r="K36" i="7" s="1"/>
  <c r="H35" i="7"/>
  <c r="J35" i="7" s="1"/>
  <c r="E35" i="7"/>
  <c r="G35" i="7" s="1"/>
  <c r="K35" i="7" s="1"/>
  <c r="P45" i="7"/>
  <c r="H34" i="7"/>
  <c r="J34" i="7" s="1"/>
  <c r="E34" i="7"/>
  <c r="G34" i="7" s="1"/>
  <c r="K34" i="7" s="1"/>
  <c r="J33" i="7"/>
  <c r="E33" i="7"/>
  <c r="G33" i="7" s="1"/>
  <c r="K33" i="7" s="1"/>
  <c r="K39" i="7" s="1"/>
  <c r="I15" i="7"/>
  <c r="F15" i="7"/>
  <c r="C15" i="7"/>
  <c r="D15" i="7"/>
  <c r="G15" i="7"/>
  <c r="J15" i="7"/>
  <c r="K15" i="7"/>
  <c r="J22" i="30" l="1"/>
  <c r="A27" i="30"/>
  <c r="A18" i="30"/>
  <c r="O27" i="37"/>
  <c r="O26" i="37"/>
  <c r="O25" i="37"/>
  <c r="O24" i="37"/>
  <c r="O23" i="37"/>
  <c r="O22" i="37"/>
  <c r="O21" i="37"/>
  <c r="O20" i="37"/>
  <c r="O19" i="37"/>
  <c r="O18" i="37"/>
  <c r="O17" i="37"/>
  <c r="O16" i="37"/>
  <c r="O27" i="38"/>
  <c r="O26" i="38"/>
  <c r="O25" i="38"/>
  <c r="O24" i="38"/>
  <c r="O23" i="38"/>
  <c r="O22" i="38"/>
  <c r="O21" i="38"/>
  <c r="O20" i="38"/>
  <c r="O19" i="38"/>
  <c r="O18" i="38"/>
  <c r="O17" i="38"/>
  <c r="O16" i="38"/>
  <c r="A16" i="30"/>
  <c r="D14" i="30"/>
  <c r="J25" i="30"/>
  <c r="H25" i="30"/>
  <c r="F25" i="30"/>
  <c r="D25" i="30"/>
  <c r="K25" i="30" s="1"/>
  <c r="J14" i="30"/>
  <c r="F17" i="21" s="1"/>
  <c r="F37" i="21" s="1"/>
  <c r="H14" i="30"/>
  <c r="E17" i="21" s="1"/>
  <c r="E37" i="21" s="1"/>
  <c r="F14" i="30"/>
  <c r="O28" i="36"/>
  <c r="P16" i="36"/>
  <c r="P17" i="36" s="1"/>
  <c r="P18" i="36" s="1"/>
  <c r="P19" i="36" s="1"/>
  <c r="P20" i="36" s="1"/>
  <c r="P21" i="36" s="1"/>
  <c r="P22" i="36" s="1"/>
  <c r="P23" i="36" s="1"/>
  <c r="P24" i="36" s="1"/>
  <c r="P25" i="36" s="1"/>
  <c r="P26" i="36" s="1"/>
  <c r="P27" i="36" s="1"/>
  <c r="P28" i="36" s="1"/>
  <c r="K43" i="7"/>
  <c r="K45" i="7" s="1"/>
  <c r="O27" i="7"/>
  <c r="O26" i="7"/>
  <c r="O25" i="7"/>
  <c r="O24" i="7"/>
  <c r="O23" i="7"/>
  <c r="O22" i="7"/>
  <c r="O21" i="7"/>
  <c r="O20" i="7"/>
  <c r="O19" i="7"/>
  <c r="O18" i="7"/>
  <c r="O17" i="7"/>
  <c r="O16" i="7"/>
  <c r="C17" i="21" l="1"/>
  <c r="C37" i="21" s="1"/>
  <c r="O28" i="38"/>
  <c r="P16" i="38"/>
  <c r="P17" i="38" s="1"/>
  <c r="P18" i="38" s="1"/>
  <c r="P19" i="38" s="1"/>
  <c r="P20" i="38" s="1"/>
  <c r="P21" i="38" s="1"/>
  <c r="P22" i="38" s="1"/>
  <c r="P23" i="38" s="1"/>
  <c r="P24" i="38" s="1"/>
  <c r="P25" i="38" s="1"/>
  <c r="P26" i="38" s="1"/>
  <c r="P27" i="38" s="1"/>
  <c r="P28" i="38" s="1"/>
  <c r="O28" i="37"/>
  <c r="P16" i="37"/>
  <c r="P17" i="37" s="1"/>
  <c r="P18" i="37" s="1"/>
  <c r="P19" i="37" s="1"/>
  <c r="P20" i="37" s="1"/>
  <c r="P21" i="37" s="1"/>
  <c r="P22" i="37" s="1"/>
  <c r="P23" i="37" s="1"/>
  <c r="P24" i="37" s="1"/>
  <c r="P25" i="37" s="1"/>
  <c r="P26" i="37" s="1"/>
  <c r="P27" i="37" s="1"/>
  <c r="P28" i="37" s="1"/>
  <c r="D17" i="21"/>
  <c r="D37" i="21" s="1"/>
  <c r="K14" i="30"/>
  <c r="Q21" i="36"/>
  <c r="C14" i="36" s="1"/>
  <c r="D14" i="36" s="1"/>
  <c r="G17" i="4"/>
  <c r="G8" i="4"/>
  <c r="R21" i="36" l="1"/>
  <c r="C16" i="36"/>
  <c r="D16" i="36" s="1"/>
  <c r="S21" i="36"/>
  <c r="Q21" i="37"/>
  <c r="C14" i="37" s="1"/>
  <c r="D14" i="37" s="1"/>
  <c r="Q21" i="38"/>
  <c r="C14" i="38" s="1"/>
  <c r="D14" i="38" s="1"/>
  <c r="I16" i="36" l="1"/>
  <c r="J16" i="36" s="1"/>
  <c r="I14" i="36"/>
  <c r="J14" i="36" s="1"/>
  <c r="F16" i="36"/>
  <c r="G16" i="36" s="1"/>
  <c r="F14" i="36"/>
  <c r="G14" i="36" s="1"/>
  <c r="R21" i="38"/>
  <c r="C16" i="38"/>
  <c r="D16" i="38" s="1"/>
  <c r="S21" i="38"/>
  <c r="R21" i="37"/>
  <c r="C16" i="37"/>
  <c r="D16" i="37" s="1"/>
  <c r="S21" i="37"/>
  <c r="E26" i="28"/>
  <c r="F22" i="28" s="1"/>
  <c r="I16" i="38" l="1"/>
  <c r="J16" i="38" s="1"/>
  <c r="I14" i="38"/>
  <c r="J14" i="38" s="1"/>
  <c r="F16" i="38"/>
  <c r="G16" i="38" s="1"/>
  <c r="F14" i="38"/>
  <c r="G14" i="38" s="1"/>
  <c r="I16" i="37"/>
  <c r="J16" i="37" s="1"/>
  <c r="I14" i="37"/>
  <c r="J14" i="37" s="1"/>
  <c r="F16" i="37"/>
  <c r="G16" i="37" s="1"/>
  <c r="F14" i="37"/>
  <c r="G14" i="37" s="1"/>
  <c r="K14" i="36"/>
  <c r="K16" i="36"/>
  <c r="K17" i="36" s="1"/>
  <c r="K46" i="36" s="1"/>
  <c r="D9" i="21" s="1"/>
  <c r="A3" i="7"/>
  <c r="K14" i="38" l="1"/>
  <c r="K16" i="38"/>
  <c r="K17" i="38" s="1"/>
  <c r="K46" i="38" s="1"/>
  <c r="F9" i="21" s="1"/>
  <c r="K14" i="37"/>
  <c r="K16" i="37"/>
  <c r="K17" i="37" s="1"/>
  <c r="K46" i="37" s="1"/>
  <c r="E9" i="21" s="1"/>
  <c r="G18" i="4"/>
  <c r="E18" i="4" l="1"/>
  <c r="G20" i="4" s="1"/>
  <c r="E15" i="21" l="1"/>
  <c r="D15" i="21"/>
  <c r="C15" i="21"/>
  <c r="E14" i="21"/>
  <c r="D14" i="21"/>
  <c r="C14" i="21"/>
  <c r="F15" i="16"/>
  <c r="F14" i="16"/>
  <c r="B33" i="4"/>
  <c r="G28" i="21" l="1"/>
  <c r="D26" i="4" s="1"/>
  <c r="D29" i="21"/>
  <c r="G29" i="21" l="1"/>
  <c r="C26" i="4" s="1"/>
  <c r="G30" i="21"/>
  <c r="E26" i="4" s="1"/>
  <c r="A30" i="28"/>
  <c r="B20" i="28"/>
  <c r="B19" i="28"/>
  <c r="A2" i="21" l="1"/>
  <c r="D20" i="21" l="1"/>
  <c r="H23" i="21" s="1"/>
  <c r="D21" i="21"/>
  <c r="B36" i="28"/>
  <c r="B35" i="28"/>
  <c r="A4" i="21"/>
  <c r="A5" i="16"/>
  <c r="A3" i="16"/>
  <c r="A3" i="21"/>
  <c r="D35" i="28" l="1"/>
  <c r="A2" i="16"/>
  <c r="C16" i="21" l="1"/>
  <c r="D17" i="16"/>
  <c r="E17" i="16"/>
  <c r="C17" i="16"/>
  <c r="F13" i="16"/>
  <c r="G15" i="21" l="1"/>
  <c r="E16" i="21" l="1"/>
  <c r="D16" i="21"/>
  <c r="E10" i="21"/>
  <c r="D10" i="21"/>
  <c r="C10" i="21"/>
  <c r="G16" i="21" l="1"/>
  <c r="D33" i="4" l="1"/>
  <c r="F12" i="16" l="1"/>
  <c r="F11" i="16"/>
  <c r="E12" i="21" l="1"/>
  <c r="D12" i="21"/>
  <c r="C12" i="21"/>
  <c r="F12" i="21"/>
  <c r="C13" i="21"/>
  <c r="F13" i="21"/>
  <c r="E13" i="21"/>
  <c r="D13" i="21"/>
  <c r="G14" i="21"/>
  <c r="D45" i="21"/>
  <c r="F16" i="16"/>
  <c r="F9" i="16"/>
  <c r="J27" i="7"/>
  <c r="K27" i="7" s="1"/>
  <c r="J25" i="7"/>
  <c r="K25" i="7" s="1"/>
  <c r="N28" i="7"/>
  <c r="J26" i="7"/>
  <c r="K26" i="7" s="1"/>
  <c r="J24" i="7"/>
  <c r="K24" i="7" s="1"/>
  <c r="J22" i="7"/>
  <c r="G22" i="7"/>
  <c r="J21" i="7"/>
  <c r="G21" i="7"/>
  <c r="P16" i="7"/>
  <c r="B44" i="21"/>
  <c r="C36" i="21" l="1"/>
  <c r="D36" i="21"/>
  <c r="E36" i="21"/>
  <c r="F36" i="21"/>
  <c r="G13" i="21"/>
  <c r="G12" i="21"/>
  <c r="F17" i="16"/>
  <c r="P17" i="7"/>
  <c r="P18" i="7" s="1"/>
  <c r="P19" i="7" s="1"/>
  <c r="P20" i="7" s="1"/>
  <c r="P21" i="7" s="1"/>
  <c r="P22" i="7" s="1"/>
  <c r="P23" i="7" s="1"/>
  <c r="P24" i="7" s="1"/>
  <c r="P25" i="7" s="1"/>
  <c r="P26" i="7" s="1"/>
  <c r="P27" i="7" s="1"/>
  <c r="P28" i="7" s="1"/>
  <c r="K21" i="7"/>
  <c r="K22" i="7"/>
  <c r="O28" i="7"/>
  <c r="B45" i="21"/>
  <c r="C27" i="4" l="1"/>
  <c r="Q21" i="7"/>
  <c r="R21" i="7" s="1"/>
  <c r="K28" i="7"/>
  <c r="C16" i="7"/>
  <c r="D16" i="7" s="1"/>
  <c r="C14" i="7" l="1"/>
  <c r="D14" i="7" s="1"/>
  <c r="F16" i="7"/>
  <c r="G16" i="7" s="1"/>
  <c r="F14" i="7" l="1"/>
  <c r="G14" i="7" s="1"/>
  <c r="S21" i="7"/>
  <c r="I16" i="7" s="1"/>
  <c r="J16" i="7" s="1"/>
  <c r="K16" i="7" s="1"/>
  <c r="I14" i="7" l="1"/>
  <c r="J14" i="7" s="1"/>
  <c r="K14" i="7" s="1"/>
  <c r="K17" i="7" s="1"/>
  <c r="K46" i="7" s="1"/>
  <c r="C9" i="21" s="1"/>
  <c r="G17" i="21" l="1"/>
  <c r="F35" i="21" l="1"/>
  <c r="C35" i="21"/>
  <c r="E35" i="21"/>
  <c r="E25" i="4"/>
  <c r="D35" i="21"/>
  <c r="C18" i="21" l="1"/>
  <c r="E18" i="21"/>
  <c r="F18" i="21"/>
  <c r="D18" i="21"/>
  <c r="G9" i="21"/>
  <c r="D25" i="4" s="1"/>
  <c r="G10" i="21" l="1"/>
  <c r="C25" i="4" s="1"/>
  <c r="G18" i="21" l="1"/>
  <c r="G20" i="21" s="1"/>
  <c r="F25" i="4"/>
  <c r="G36" i="21" l="1"/>
  <c r="G35" i="21"/>
  <c r="D27" i="4" s="1"/>
  <c r="D31" i="21" l="1"/>
  <c r="D38" i="21"/>
  <c r="C31" i="21" l="1"/>
  <c r="D40" i="21"/>
  <c r="E31" i="21"/>
  <c r="E38" i="21" l="1"/>
  <c r="E40" i="21" s="1"/>
  <c r="C38" i="21"/>
  <c r="F31" i="21" l="1"/>
  <c r="C40" i="21"/>
  <c r="F26" i="4" l="1"/>
  <c r="G31" i="21"/>
  <c r="F38" i="21"/>
  <c r="G37" i="21"/>
  <c r="E27" i="4" s="1"/>
  <c r="F40" i="21" l="1"/>
  <c r="G40" i="21" s="1"/>
  <c r="G38" i="21"/>
  <c r="D28" i="4" l="1"/>
  <c r="D33" i="28" s="1"/>
  <c r="E28" i="4"/>
  <c r="E33" i="28" s="1"/>
  <c r="G27" i="4" l="1"/>
  <c r="F27" i="4"/>
  <c r="C28" i="4"/>
  <c r="F28" i="4" l="1"/>
  <c r="F33" i="28" s="1"/>
  <c r="C33" i="28"/>
  <c r="G21" i="21"/>
  <c r="A25" i="21" l="1"/>
  <c r="F25" i="21"/>
</calcChain>
</file>

<file path=xl/sharedStrings.xml><?xml version="1.0" encoding="utf-8"?>
<sst xmlns="http://schemas.openxmlformats.org/spreadsheetml/2006/main" count="1167" uniqueCount="536">
  <si>
    <t>Montant</t>
  </si>
  <si>
    <t xml:space="preserve">Certificat de capacité d'orthophoniste </t>
  </si>
  <si>
    <t xml:space="preserve">Certificat de capacité d'orthoptiste </t>
  </si>
  <si>
    <t>Diplôme d'État d'Ergothérapeute</t>
  </si>
  <si>
    <t>Brevet Professionnel de la Jeunesse, de l'Éducation Populaire et du Sport - BPJEPS</t>
  </si>
  <si>
    <t>Certificat d'Aptitude aux Fonctions d'Encadrement et de Responsable d'Unité d'Intervention Sociale - CAFERUIS</t>
  </si>
  <si>
    <t>Diplôme d'État d'Assistant de Service Social - DEASS</t>
  </si>
  <si>
    <t>Diplôme d'État d'Auxiliaire de Puériculture - DEAP</t>
  </si>
  <si>
    <t>Diplôme d'État d'Éducateur de Jeunes Enfants - DEEJE</t>
  </si>
  <si>
    <t>Diplôme d'État d'Éducateur Technique Spécialisé - DEETS</t>
  </si>
  <si>
    <t>Diplôme d'État d'Éducateur Spécialisé - DEES</t>
  </si>
  <si>
    <t>Diplôme d'État d'Infirmier Anesthésiste - IADE</t>
  </si>
  <si>
    <t>Diplôme d'État d'Infirmier de Bloc Opératoire - IBODE</t>
  </si>
  <si>
    <t>Diplôme d'État d'Infirmier - IDE</t>
  </si>
  <si>
    <t>Diplôme d'État de la Jeunesse, de l'Éducation Populaire et du Sport - DEJEPS</t>
  </si>
  <si>
    <t>Diplôme d'État de Manipulateur d'Électroradiologie médicale - DEMER</t>
  </si>
  <si>
    <t>Diplôme d'État de Moniteur Éducateur - DEME</t>
  </si>
  <si>
    <t>Diplôme d'État de Pédicure Podologue</t>
  </si>
  <si>
    <t>Diplôme d'État de Psychomotricien</t>
  </si>
  <si>
    <t>Diplôme d'État de Puéricultrice</t>
  </si>
  <si>
    <t>Diplôme d'État de Sage Femme</t>
  </si>
  <si>
    <t>Diplôme de Préparateur en Pharmacie Hospitalière</t>
  </si>
  <si>
    <t>Diplôme d'État de Masseur kinésithérapeute</t>
  </si>
  <si>
    <t>Diplôme de Cadre de Santé</t>
  </si>
  <si>
    <t>TOTAL</t>
  </si>
  <si>
    <t>Traitement</t>
  </si>
  <si>
    <t>Déplacement</t>
  </si>
  <si>
    <t>N° SIRET :</t>
  </si>
  <si>
    <t>de l'action de formation</t>
  </si>
  <si>
    <t>financé par l'établissement</t>
  </si>
  <si>
    <t>demandé sur les fonds mutualisés</t>
  </si>
  <si>
    <t>SELECTIONNER VOTRE ETABLISSEMENT DANS LA LISTE</t>
  </si>
  <si>
    <t>AQU003 - CH BELVES</t>
  </si>
  <si>
    <t>AQU004 - CH BERGERAC</t>
  </si>
  <si>
    <t>AQU005 - EPAC BOURDEILLES</t>
  </si>
  <si>
    <t>AQU006 - EHPAD BRANTOME</t>
  </si>
  <si>
    <t>AQU007 - EHPAD LE BUGUE</t>
  </si>
  <si>
    <t>AQU008 - EHPAD CADOUIN</t>
  </si>
  <si>
    <t>AQU009 - EHPAD CARSAC</t>
  </si>
  <si>
    <t>AQU010 - CH DOMME</t>
  </si>
  <si>
    <t>AQU011 - CH EXCIDEUIL</t>
  </si>
  <si>
    <t>AQU012 - EHPAD EYMET</t>
  </si>
  <si>
    <t>AQU013 - EHPAD HAUTEFORT</t>
  </si>
  <si>
    <t>AQU014 - EHPAD LA COQUILLE</t>
  </si>
  <si>
    <t>AQU015 - EHPAD LALINDE</t>
  </si>
  <si>
    <t>AQU016 - EHPAD MAREUIL SUR BELLE</t>
  </si>
  <si>
    <t>AQU018 - EHPAD MONPAZIER</t>
  </si>
  <si>
    <t>AQU019 - EHPAD MONTIGNAC</t>
  </si>
  <si>
    <t>AQU020 - CH VAUCLAIRE</t>
  </si>
  <si>
    <t>AQU021 - EHPAD MONTPON MENESTEROL</t>
  </si>
  <si>
    <t>AQU023 - EHPAD NEUVIC</t>
  </si>
  <si>
    <t>AQU024 - CH NONTRON</t>
  </si>
  <si>
    <t>AQU025 - CH PERIGUEUX</t>
  </si>
  <si>
    <t>AQU027 - EHPAD LA ROCHE CHALAIS</t>
  </si>
  <si>
    <t>AQU028 - CH SAINT ASTIER</t>
  </si>
  <si>
    <t>AQU030 - EHPAD SALIGNAC</t>
  </si>
  <si>
    <t>AQU031 - CH SARLAT</t>
  </si>
  <si>
    <t>AQU032 - EHPAD TERRASSON</t>
  </si>
  <si>
    <t>AQU033 - EHPAD THIVIERS</t>
  </si>
  <si>
    <t>AQU034 - FDE PERIGUEUX</t>
  </si>
  <si>
    <t>AQU035 - EHPAD AMBES</t>
  </si>
  <si>
    <t>AQU037 - CH BAZAS</t>
  </si>
  <si>
    <t>AQU038 - EHPAD BEGLES</t>
  </si>
  <si>
    <t>AQU039 - CH BLAYE</t>
  </si>
  <si>
    <t>AQU040 - CHU BORDEAUX</t>
  </si>
  <si>
    <t>AQU041 - CHS CHARLES PERRENS BORDEAUX</t>
  </si>
  <si>
    <t>AQU042 - EHPAD LE BOUSCAT</t>
  </si>
  <si>
    <t>AQU043 - CHS CADILLAC/GARONNE</t>
  </si>
  <si>
    <t>AQU044 - EHPAD CASTELNAU DE MEDOC</t>
  </si>
  <si>
    <t>AQU045 - EHPAD CASTILLON LA BATAILLE</t>
  </si>
  <si>
    <t>AQU046 - EHPAD CESTAS</t>
  </si>
  <si>
    <t>AQU047 - EHPAD COUTRAS</t>
  </si>
  <si>
    <t>AQU048 - EHPAD CREON</t>
  </si>
  <si>
    <t>AQU049 - CDEF EYSINES</t>
  </si>
  <si>
    <t>AQU050 - CHI SUD GIRONDE LA REOLE</t>
  </si>
  <si>
    <t>AQU051 - CH LIBOURNE</t>
  </si>
  <si>
    <t>AQU053 - EHPAD PESSAC</t>
  </si>
  <si>
    <t>AQU059 - EHPAD SOULAC SUR MER</t>
  </si>
  <si>
    <t>AQU060 - EHPAD TALENCE</t>
  </si>
  <si>
    <t>AQU061 - EHPAD VERTHEUIL MEDOC</t>
  </si>
  <si>
    <t>AQU063 - EHPAD BISCARROSSE</t>
  </si>
  <si>
    <t>AQU065 - EHPAD CAPBRETON</t>
  </si>
  <si>
    <t>AQU066 - CH DAX</t>
  </si>
  <si>
    <t>AQU067 - EHPAD GABARRET</t>
  </si>
  <si>
    <t>AQU068 - EHPAD GEAUNE</t>
  </si>
  <si>
    <t>AQU071 - EHPAD LUXEY</t>
  </si>
  <si>
    <t>AQU072 - CH MONT DE MARSAN</t>
  </si>
  <si>
    <t>AQU075 - EHPAD MUGRON</t>
  </si>
  <si>
    <t>AQU076 - EHPAD PEYREHORADE</t>
  </si>
  <si>
    <t>AQU077 - EHPAD PONTONX SUR ADOUR</t>
  </si>
  <si>
    <t>AQU083 - EHPAD TARTAS</t>
  </si>
  <si>
    <t>AQU084 - EHPAD VILLENEUVE DE MARSAN</t>
  </si>
  <si>
    <t>AQU087 - EHPAD AIGUILLON</t>
  </si>
  <si>
    <t>AQU088 - EHPAD CANCON</t>
  </si>
  <si>
    <t>AQU089 - EHPAD CASSENEUIL</t>
  </si>
  <si>
    <t>AQU090 - CH CASTELJALOUX</t>
  </si>
  <si>
    <t>AQU091 - EHPAD CASTELMORON SUR LOT</t>
  </si>
  <si>
    <t>AQU092 - EHPAD CASTILLONNES</t>
  </si>
  <si>
    <t>AQU093 - EHPAD CLAIRAC</t>
  </si>
  <si>
    <t>AQU094 - EHPAD DAMAZAN</t>
  </si>
  <si>
    <t>AQU095 - EHPAD FEUGAROLLES</t>
  </si>
  <si>
    <t>AQU096 - CH FUMEL</t>
  </si>
  <si>
    <t>AQU097 - CH MARMANDE</t>
  </si>
  <si>
    <t>AQU098 - EHPAD MAS D'AGENAIS</t>
  </si>
  <si>
    <t>AQU100 - EHPAD MEZIN</t>
  </si>
  <si>
    <t>AQU101 - EHPAD MIRAMONT DE GUYENNE</t>
  </si>
  <si>
    <t>AQU102 - FOYER MONCLAR D'AGENAIS</t>
  </si>
  <si>
    <t>AQU103 - EHPAD MONFLANQUIN</t>
  </si>
  <si>
    <t>AQU105 - CH PENNE D'AGENAIS</t>
  </si>
  <si>
    <t>AQU109 - EHPAD SOS EN ALBRET</t>
  </si>
  <si>
    <t>AQU111 - EHPAD VERTEUIL D'AGENAIS</t>
  </si>
  <si>
    <t>AQU112 - CH VILLENEUVE SUR LOT</t>
  </si>
  <si>
    <t>AQU113 - EHPAD VILLEREAL</t>
  </si>
  <si>
    <t>AQU114 - FDE PONT DU CASSE</t>
  </si>
  <si>
    <t>AQU115 - CH COTE BASQUE BAYONNE</t>
  </si>
  <si>
    <t>AQU116 - EHPAD GARLIN</t>
  </si>
  <si>
    <t>AQU117 - EHPAD HASPARREN</t>
  </si>
  <si>
    <t>AQU118 - CH MAULEON SOULE</t>
  </si>
  <si>
    <t>AQU119 - EHPAD MONEIN</t>
  </si>
  <si>
    <t>AQU120 - CH OLORON SAINTE MARIE</t>
  </si>
  <si>
    <t>AQU121 - CH ORTHEZ</t>
  </si>
  <si>
    <t>AQU122 - CH PAU</t>
  </si>
  <si>
    <t>AQU123 - CHS PYRENEES PAU</t>
  </si>
  <si>
    <t>AQU125 - EHPAD SALIES DE BEARN</t>
  </si>
  <si>
    <t>AQU126 - EHPAD SARE</t>
  </si>
  <si>
    <t>AQU127 - CDEF PAU</t>
  </si>
  <si>
    <t>AQU128 - MECS CASTILLON TARNOS</t>
  </si>
  <si>
    <t>AQU130 - IME COUTRAS</t>
  </si>
  <si>
    <t>AQU133 - FONDATION DE SELVES SARLAT</t>
  </si>
  <si>
    <t>AQU135 - CMPP MONT DE MARSAN</t>
  </si>
  <si>
    <t>AQU137 - MECS LIBOURNE</t>
  </si>
  <si>
    <t>AQU140 - IME MIMIZAN</t>
  </si>
  <si>
    <t>AQU141 - EHPAD PUYMIROL</t>
  </si>
  <si>
    <t>AQU142 - ITEP  AILHAUD-CASTELET BOULAZAC</t>
  </si>
  <si>
    <t>AQU145 - CCAS BORDEAUX</t>
  </si>
  <si>
    <t>AQU146 - EHPAD VILLEFRANCHE DU PERIGORD</t>
  </si>
  <si>
    <t>AQU147 - EHPAD TOURNON D'AGENAIS</t>
  </si>
  <si>
    <t>AQU148 - EHPAD PRECHAC</t>
  </si>
  <si>
    <t>AQU155 - EHPAD COULOUNIEIX-CHAMIERS</t>
  </si>
  <si>
    <t>AQU156 - EHPAD LANOUAILLE</t>
  </si>
  <si>
    <t>AQU157 - CH SAINT PALAIS</t>
  </si>
  <si>
    <t>Choisir</t>
  </si>
  <si>
    <t>Grade :</t>
  </si>
  <si>
    <t>ACTION DE FORMATION</t>
  </si>
  <si>
    <t>ÉTABLISSEMENT</t>
  </si>
  <si>
    <t>AGENT</t>
  </si>
  <si>
    <t>SELECTIONNER L'ÉTUDE PROMOTIONNELLE DANS LA LISTE</t>
  </si>
  <si>
    <t>Date de début de scolarité :</t>
  </si>
  <si>
    <t>Date de fin de scolarité :</t>
  </si>
  <si>
    <t>Organisme de formation :</t>
  </si>
  <si>
    <t>N° d'activité :</t>
  </si>
  <si>
    <t>Coût et répartition :</t>
  </si>
  <si>
    <t>L'établissement atteste avoir pris connaissance des conditions de prise en charge de l'ANFH.</t>
  </si>
  <si>
    <t>Certifie l'exactitude des renseignements fournis et la conformité des documents joints.</t>
  </si>
  <si>
    <t xml:space="preserve">Fait à : </t>
  </si>
  <si>
    <t xml:space="preserve">le : </t>
  </si>
  <si>
    <t>Le directeur de l'établissement :</t>
  </si>
  <si>
    <t>(Joindre la photocopie de la carte grise du véhicule)</t>
  </si>
  <si>
    <t>Jusqu'à</t>
  </si>
  <si>
    <t>Nombre de</t>
  </si>
  <si>
    <t>de 2001</t>
  </si>
  <si>
    <t>au-delà</t>
  </si>
  <si>
    <t>Total</t>
  </si>
  <si>
    <t>Récapitulatif kilomètres parcourus</t>
  </si>
  <si>
    <t>2000 Km</t>
  </si>
  <si>
    <t>Kms</t>
  </si>
  <si>
    <t>total</t>
  </si>
  <si>
    <t>à 10.000 km</t>
  </si>
  <si>
    <t>de 10.000 km</t>
  </si>
  <si>
    <t>5Cv et moins</t>
  </si>
  <si>
    <t>Mois</t>
  </si>
  <si>
    <t>Cumul</t>
  </si>
  <si>
    <t>6 et 7 Cv</t>
  </si>
  <si>
    <t>AR</t>
  </si>
  <si>
    <t>Km</t>
  </si>
  <si>
    <t>8Cv et plus</t>
  </si>
  <si>
    <t>janvier</t>
  </si>
  <si>
    <t>Total véhicule personnelle :</t>
  </si>
  <si>
    <t>février</t>
  </si>
  <si>
    <t>mars</t>
  </si>
  <si>
    <t>Prix Aller</t>
  </si>
  <si>
    <t>Nombre</t>
  </si>
  <si>
    <t>Prix Retour</t>
  </si>
  <si>
    <t>avril</t>
  </si>
  <si>
    <t>SNCF 2ème classe</t>
  </si>
  <si>
    <t>mai</t>
  </si>
  <si>
    <t>SNCF 1ère classe et/ou avion</t>
  </si>
  <si>
    <t>juin</t>
  </si>
  <si>
    <t>Prix Unitaire</t>
  </si>
  <si>
    <t>juillet</t>
  </si>
  <si>
    <t>août</t>
  </si>
  <si>
    <t>septembre</t>
  </si>
  <si>
    <t>octobre</t>
  </si>
  <si>
    <t>novembre</t>
  </si>
  <si>
    <t>décembre</t>
  </si>
  <si>
    <t>Taxi</t>
  </si>
  <si>
    <t>Parking</t>
  </si>
  <si>
    <t>Péage</t>
  </si>
  <si>
    <t>Total transport en commun</t>
  </si>
  <si>
    <t>FRAIS D'HEBERGEMENT</t>
  </si>
  <si>
    <t>En centre d'hébergement</t>
  </si>
  <si>
    <t>A l'hôtel</t>
  </si>
  <si>
    <t>Tarif FPH</t>
  </si>
  <si>
    <t>Nbre de nuits</t>
  </si>
  <si>
    <t>Prix</t>
  </si>
  <si>
    <t>Total frais d'hébergement</t>
  </si>
  <si>
    <t>FRAIS DE RESTAURATION</t>
  </si>
  <si>
    <t>Repas</t>
  </si>
  <si>
    <t>Plein tarif</t>
  </si>
  <si>
    <t>Demi tarif</t>
  </si>
  <si>
    <t>Déjeuner</t>
  </si>
  <si>
    <t>Diner</t>
  </si>
  <si>
    <t>Total frais de restauration :</t>
  </si>
  <si>
    <t>Total général :</t>
  </si>
  <si>
    <t>Puissance</t>
  </si>
  <si>
    <t>Fiscale</t>
  </si>
  <si>
    <t>FRAIS DE DÉPLACEMENT (une feuille par année civile)</t>
  </si>
  <si>
    <t>Centre</t>
  </si>
  <si>
    <t>Hôtel</t>
  </si>
  <si>
    <t>Total financement</t>
  </si>
  <si>
    <t>Droits d'inscription au concours</t>
  </si>
  <si>
    <t>Coût total estimé de l'Étude Promotionnelle</t>
  </si>
  <si>
    <t>RÉPARTITION FINANCIÈRE</t>
  </si>
  <si>
    <t>BUDGET ÉTABLISSEMENT - PLAN DE FORMATION</t>
  </si>
  <si>
    <t>BUDGET ANFH "FONDS MUTUALISÉS EP - GUICHET UNIQUE"</t>
  </si>
  <si>
    <t>Frais annexes non financés - hors Études Promotionnelles</t>
  </si>
  <si>
    <t>Seuls les dossiers d'agent admis sur liste principale seront examinés</t>
  </si>
  <si>
    <t>Enseignement</t>
  </si>
  <si>
    <t>Choisir n°</t>
  </si>
  <si>
    <t>Total établissement (1)</t>
  </si>
  <si>
    <t>Total Guichet Unique (2)</t>
  </si>
  <si>
    <t>Total financé (1 + 2)</t>
  </si>
  <si>
    <t>Favorable</t>
  </si>
  <si>
    <t>Défavorable</t>
  </si>
  <si>
    <t>AQU022 - EHPAD MUSSIDAN</t>
  </si>
  <si>
    <t>AQU078 - EHPAD ROQUEFORT LABASTIDE</t>
  </si>
  <si>
    <t>AQU158 - EHPAD LA BOURDETTE</t>
  </si>
  <si>
    <t>Direction Civilité Prénom NOM :</t>
  </si>
  <si>
    <t>Adjoint Administratif</t>
  </si>
  <si>
    <t>Agent d'Entretien Qualifié</t>
  </si>
  <si>
    <t>Aide-Soignant</t>
  </si>
  <si>
    <t>Auxiliaire Puériculture</t>
  </si>
  <si>
    <t>Agent Service Hospitalier Qualifié</t>
  </si>
  <si>
    <t>Sélectionner le grade dans la liste</t>
  </si>
  <si>
    <t>Oui</t>
  </si>
  <si>
    <t>Non</t>
  </si>
  <si>
    <t>Frais d'enseignement</t>
  </si>
  <si>
    <t>Infirmier Bloc Opératoire</t>
  </si>
  <si>
    <t>Préparateur Pharmacie</t>
  </si>
  <si>
    <t xml:space="preserve"> </t>
  </si>
  <si>
    <t xml:space="preserve">Puissance fiscale : </t>
  </si>
  <si>
    <t>TRANSPORT EN COMMUN / DIVERS</t>
  </si>
  <si>
    <t>carte d'accès au self</t>
  </si>
  <si>
    <t>Frais d'enseignement ou frais pédagogique **</t>
  </si>
  <si>
    <t>n° EP 001</t>
  </si>
  <si>
    <t>n° EP 002</t>
  </si>
  <si>
    <t>n° EP 003</t>
  </si>
  <si>
    <t>n° EP 004</t>
  </si>
  <si>
    <t>n° EP 005</t>
  </si>
  <si>
    <t>n° EP 006</t>
  </si>
  <si>
    <t>n° EP 007</t>
  </si>
  <si>
    <t>n° EP 008</t>
  </si>
  <si>
    <t>n° EP 009</t>
  </si>
  <si>
    <t>n° EP 010</t>
  </si>
  <si>
    <t>n° EP 011</t>
  </si>
  <si>
    <t>n° EP 012</t>
  </si>
  <si>
    <t>n° EP 013</t>
  </si>
  <si>
    <t>n° EP 014</t>
  </si>
  <si>
    <t>n° EP 015</t>
  </si>
  <si>
    <t>n° EP 016</t>
  </si>
  <si>
    <t>n° EP 017</t>
  </si>
  <si>
    <t>n° EP 018</t>
  </si>
  <si>
    <t>n° EP 019</t>
  </si>
  <si>
    <t>n° EP 020</t>
  </si>
  <si>
    <t>n° EP 021</t>
  </si>
  <si>
    <t>n° EP 022</t>
  </si>
  <si>
    <t>n° EP 023</t>
  </si>
  <si>
    <t>n° EP 024</t>
  </si>
  <si>
    <t>n° EP 025</t>
  </si>
  <si>
    <t>n° EP 026</t>
  </si>
  <si>
    <t>n° EP 027</t>
  </si>
  <si>
    <t>n° EP 028</t>
  </si>
  <si>
    <t>n° EP 029</t>
  </si>
  <si>
    <t>n° EP 030</t>
  </si>
  <si>
    <t>n° EP 031</t>
  </si>
  <si>
    <t>n° EP 032</t>
  </si>
  <si>
    <t>n° EP 033</t>
  </si>
  <si>
    <t>n° EP 034</t>
  </si>
  <si>
    <t>n° EP 035</t>
  </si>
  <si>
    <t>n° EP 036</t>
  </si>
  <si>
    <t>n° EP 037</t>
  </si>
  <si>
    <t>n° EP 038</t>
  </si>
  <si>
    <t>n° EP 039</t>
  </si>
  <si>
    <t>n° EP 040</t>
  </si>
  <si>
    <t>n° EP 041</t>
  </si>
  <si>
    <t>n° EP 042</t>
  </si>
  <si>
    <t>n° EP 043</t>
  </si>
  <si>
    <t>n° EP 044</t>
  </si>
  <si>
    <t>n° EP 045</t>
  </si>
  <si>
    <t>n° EP 046</t>
  </si>
  <si>
    <t>n° EP 047</t>
  </si>
  <si>
    <t>n° EP 048</t>
  </si>
  <si>
    <t>n° EP 049</t>
  </si>
  <si>
    <t>n° EP 050</t>
  </si>
  <si>
    <t>Panel établissements :</t>
  </si>
  <si>
    <t>Panel 1</t>
  </si>
  <si>
    <t>Panel 2</t>
  </si>
  <si>
    <t>Panel 3</t>
  </si>
  <si>
    <t>Diplôme d'État de Technicien en analyses biomédicales</t>
  </si>
  <si>
    <t>Diplôme d'État de Conseiller en Économie Sociale et Familiale - DECESF</t>
  </si>
  <si>
    <t>Diplôme d'Assistant de Régulation Médicale</t>
  </si>
  <si>
    <t>CAFERUIS</t>
  </si>
  <si>
    <t>Diplôme Préparateur Pharmacie Hosp.</t>
  </si>
  <si>
    <t>Diplôme d'État d'Infirmier Anesthésiste</t>
  </si>
  <si>
    <t>Diplôme d'État Infirmier Bloc Opératoire</t>
  </si>
  <si>
    <t>Diplôme d'État d'Infirmier</t>
  </si>
  <si>
    <t>Diplôme d'État d'Aide-Soignant</t>
  </si>
  <si>
    <t>CPF Mobilisation :</t>
  </si>
  <si>
    <t>A</t>
  </si>
  <si>
    <t>C</t>
  </si>
  <si>
    <t>B</t>
  </si>
  <si>
    <t>Prénom NOM :</t>
  </si>
  <si>
    <t>Détail de l'action demandée</t>
  </si>
  <si>
    <r>
      <t>du 1</t>
    </r>
    <r>
      <rPr>
        <vertAlign val="superscript"/>
        <sz val="8"/>
        <rFont val="Verdana"/>
        <family val="2"/>
      </rPr>
      <t>er</t>
    </r>
    <r>
      <rPr>
        <sz val="8"/>
        <rFont val="Verdana"/>
        <family val="2"/>
      </rPr>
      <t xml:space="preserve"> au 10</t>
    </r>
    <r>
      <rPr>
        <vertAlign val="superscript"/>
        <sz val="8"/>
        <rFont val="Verdana"/>
        <family val="2"/>
      </rPr>
      <t>ème</t>
    </r>
    <r>
      <rPr>
        <sz val="8"/>
        <rFont val="Verdana"/>
        <family val="2"/>
      </rPr>
      <t xml:space="preserve"> jour</t>
    </r>
  </si>
  <si>
    <r>
      <t>du 11</t>
    </r>
    <r>
      <rPr>
        <vertAlign val="superscript"/>
        <sz val="8"/>
        <rFont val="Verdana"/>
        <family val="2"/>
      </rPr>
      <t>ème</t>
    </r>
    <r>
      <rPr>
        <sz val="8"/>
        <rFont val="Verdana"/>
        <family val="2"/>
      </rPr>
      <t xml:space="preserve"> au 30</t>
    </r>
    <r>
      <rPr>
        <vertAlign val="superscript"/>
        <sz val="8"/>
        <rFont val="Verdana"/>
        <family val="2"/>
      </rPr>
      <t>ème</t>
    </r>
    <r>
      <rPr>
        <sz val="8"/>
        <rFont val="Verdana"/>
        <family val="2"/>
      </rPr>
      <t xml:space="preserve"> jour</t>
    </r>
  </si>
  <si>
    <r>
      <t>du 31</t>
    </r>
    <r>
      <rPr>
        <vertAlign val="superscript"/>
        <sz val="8"/>
        <rFont val="Verdana"/>
        <family val="2"/>
      </rPr>
      <t>ème</t>
    </r>
    <r>
      <rPr>
        <sz val="8"/>
        <rFont val="Verdana"/>
        <family val="2"/>
      </rPr>
      <t xml:space="preserve"> au 60</t>
    </r>
    <r>
      <rPr>
        <vertAlign val="superscript"/>
        <sz val="8"/>
        <rFont val="Verdana"/>
        <family val="2"/>
      </rPr>
      <t>ème</t>
    </r>
    <r>
      <rPr>
        <sz val="8"/>
        <rFont val="Verdana"/>
        <family val="2"/>
      </rPr>
      <t xml:space="preserve"> jour</t>
    </r>
  </si>
  <si>
    <r>
      <t>à partir du 61</t>
    </r>
    <r>
      <rPr>
        <vertAlign val="superscript"/>
        <sz val="8"/>
        <rFont val="Verdana"/>
        <family val="2"/>
      </rPr>
      <t>ème</t>
    </r>
    <r>
      <rPr>
        <sz val="8"/>
        <rFont val="Verdana"/>
        <family val="2"/>
      </rPr>
      <t xml:space="preserve"> jour</t>
    </r>
  </si>
  <si>
    <r>
      <t xml:space="preserve">Action de préparation aux examens et concours des fonctions publiques -type 3- hors EP </t>
    </r>
    <r>
      <rPr>
        <sz val="12"/>
        <rFont val="Wingdings"/>
        <charset val="2"/>
      </rPr>
      <t>Ü</t>
    </r>
    <r>
      <rPr>
        <sz val="12"/>
        <rFont val="Verdana"/>
        <family val="2"/>
      </rPr>
      <t xml:space="preserve"> PLAN formation</t>
    </r>
  </si>
  <si>
    <t>Frais de Traitements</t>
  </si>
  <si>
    <t>heures de formation</t>
  </si>
  <si>
    <t>heures de stage</t>
  </si>
  <si>
    <t>Adjoint administratif</t>
  </si>
  <si>
    <t>Agent d'entretien qualifié</t>
  </si>
  <si>
    <t>Ouvrier principal</t>
  </si>
  <si>
    <t>Assistant de service social</t>
  </si>
  <si>
    <t>Infirmier</t>
  </si>
  <si>
    <t>Nombre de mois</t>
  </si>
  <si>
    <t>Nombre d'heures</t>
  </si>
  <si>
    <t>En continu</t>
  </si>
  <si>
    <t>En discontinu</t>
  </si>
  <si>
    <t>Frais de Déplacement</t>
  </si>
  <si>
    <t>Signature</t>
  </si>
  <si>
    <t>AQU159 - EHPAD ARTHEZ DE BEARN</t>
  </si>
  <si>
    <t>Brevet d'État d'Animateur Technicien de la jeunesse et de l’Éducation Populaire - BEATEP</t>
  </si>
  <si>
    <t>Diplôme d'État d'Infirmier en pratique avancée - IPA</t>
  </si>
  <si>
    <t xml:space="preserve">Le : </t>
  </si>
  <si>
    <t>Frais de dossier (frais annexes)</t>
  </si>
  <si>
    <t xml:space="preserve">Coût Étude promotionnelle : </t>
  </si>
  <si>
    <t>NOM Prénom :</t>
  </si>
  <si>
    <t>COFINANCEMENT OBLIGATOIRE</t>
  </si>
  <si>
    <t>Tous secteurs : diplômes de la rééducation</t>
  </si>
  <si>
    <t>Secteurs personnes âgées : DEAS / DEAES</t>
  </si>
  <si>
    <t>Secteur sanitaire : IBODE / IDE.</t>
  </si>
  <si>
    <t>Forfait mensuel</t>
  </si>
  <si>
    <t>Grades de l'agent parti en formation</t>
  </si>
  <si>
    <t>Agent des services hospitaliers qualifié</t>
  </si>
  <si>
    <t>Aide-soignant</t>
  </si>
  <si>
    <t>Aide médico-psychologique</t>
  </si>
  <si>
    <t>Auxilaire de puériculture</t>
  </si>
  <si>
    <t>Educateur spécialisé</t>
  </si>
  <si>
    <t>Préparateur en pharmacie hospitalière</t>
  </si>
  <si>
    <t>Infirmier de bloc opératoire</t>
  </si>
  <si>
    <t>Autres grade Catégorie A</t>
  </si>
  <si>
    <t>Autres grade Catégorie B</t>
  </si>
  <si>
    <t>Autres grade Catégorie C</t>
  </si>
  <si>
    <t>Priorité :</t>
  </si>
  <si>
    <t>Forfait des frais de traitement</t>
  </si>
  <si>
    <t>Recevabilité du dossier</t>
  </si>
  <si>
    <r>
      <t xml:space="preserve">ANNÉE CIVILE </t>
    </r>
    <r>
      <rPr>
        <b/>
        <sz val="18"/>
        <color theme="0"/>
        <rFont val="Verdana"/>
        <family val="2"/>
      </rPr>
      <t>2025</t>
    </r>
  </si>
  <si>
    <t xml:space="preserve">Cachet de l'établissement </t>
  </si>
  <si>
    <t>Cachet de l'établissement</t>
  </si>
  <si>
    <t>Les droits d’inscription sont annuels et fixés par le Ministère de l’Education, de l'Enseignement.</t>
  </si>
  <si>
    <r>
      <rPr>
        <b/>
        <u/>
        <sz val="11"/>
        <rFont val="Verdana"/>
        <family val="2"/>
      </rPr>
      <t>Frais d'enseignement ou frais pédagogique **</t>
    </r>
    <r>
      <rPr>
        <sz val="11"/>
        <rFont val="Verdana"/>
        <family val="2"/>
      </rPr>
      <t xml:space="preserve">  Révision annuelle par voie d'avenant</t>
    </r>
  </si>
  <si>
    <t>Achat des tenues de stage</t>
  </si>
  <si>
    <t>Achats des manuels scolaires</t>
  </si>
  <si>
    <t>Autres frais (annexes)</t>
  </si>
  <si>
    <t>AFGSU</t>
  </si>
  <si>
    <t>Frais d'enseignement (discontinu)</t>
  </si>
  <si>
    <t>Frais d'enseignement (continu)</t>
  </si>
  <si>
    <t>Tenues de stage  / manuels</t>
  </si>
  <si>
    <t>Frais dossier / Autres frais</t>
  </si>
  <si>
    <t>Admis au concours :</t>
  </si>
  <si>
    <t>Oui, liste principale</t>
  </si>
  <si>
    <t>Dossier rempli par Civilité NOM (téléphone) :</t>
  </si>
  <si>
    <t>Arrêté du 07/04/2020 art. 11</t>
  </si>
  <si>
    <t>En attente de résultat</t>
  </si>
  <si>
    <t>Reçu sur liste complémentaire</t>
  </si>
  <si>
    <t>Report de scolarité</t>
  </si>
  <si>
    <t>Signature de l'agent</t>
  </si>
  <si>
    <t>Location (la double résidence doit être justifiée chaque année)</t>
  </si>
  <si>
    <t>Forfait</t>
  </si>
  <si>
    <t>Le CPF est alimenté à hauteur de 50 heures maximum par année civile, dans la limite</t>
  </si>
  <si>
    <t>d’un plafond de 400 heures.</t>
  </si>
  <si>
    <t>Pour justifier l’attribution de ce crédit d’heures supplémentaires, l’agent doit présenter</t>
  </si>
  <si>
    <t>un avis du médecin de prévention ou du médecin du travail, attestant que son état de</t>
  </si>
  <si>
    <t>santé l’expose, compte tenu de ses conditions de travail, à un risque d’inaptitude à</t>
  </si>
  <si>
    <t>l’exercice de ses fonctions.</t>
  </si>
  <si>
    <t>1) Le Compte Personnel de Formation est alimenté à hauteur de 25 heures maximum</t>
  </si>
  <si>
    <t>par année civile, dans la limite d’un plafond de 150 heures.</t>
  </si>
  <si>
    <t>2) Fonctionnaires de catégorie C ayant un niveau de formation inférieure au niveau 3 :</t>
  </si>
  <si>
    <t>3) Lorsque le projet d’évolution professionnelle vise à prévenir une situation</t>
  </si>
  <si>
    <t>d’inaptitude à l’exercice de ses fonctions : Le fonctionnaire peut bénéficier d’un crédit</t>
  </si>
  <si>
    <t>d’heures supplémentaires, dans la limite de 150 heures, en complément des droits</t>
  </si>
  <si>
    <t>acquis, sans préjudice des plafonds.</t>
  </si>
  <si>
    <t>Plafond</t>
  </si>
  <si>
    <t>Acquis</t>
  </si>
  <si>
    <r>
      <t>l</t>
    </r>
    <r>
      <rPr>
        <sz val="12"/>
        <rFont val="Verdana"/>
        <family val="2"/>
      </rPr>
      <t xml:space="preserve"> CPF alimenté à hauteur de 25 h :</t>
    </r>
  </si>
  <si>
    <r>
      <t>l</t>
    </r>
    <r>
      <rPr>
        <sz val="12"/>
        <rFont val="Verdana"/>
        <family val="2"/>
      </rPr>
      <t xml:space="preserve"> Fonctionnaire catégorie C :</t>
    </r>
  </si>
  <si>
    <r>
      <t>l</t>
    </r>
    <r>
      <rPr>
        <sz val="12"/>
        <rFont val="Verdana"/>
        <family val="2"/>
      </rPr>
      <t xml:space="preserve"> Situation d'inaptitude (à justifier) :</t>
    </r>
  </si>
  <si>
    <t>https://www.legifrance.gouv.fr/jorf/id/JORFTEXT000045352145</t>
  </si>
  <si>
    <r>
      <t xml:space="preserve">ANNÉE CIVILE </t>
    </r>
    <r>
      <rPr>
        <b/>
        <sz val="18"/>
        <color theme="0"/>
        <rFont val="Verdana"/>
        <family val="2"/>
      </rPr>
      <t>2026</t>
    </r>
  </si>
  <si>
    <t>Catégorie grade :</t>
  </si>
  <si>
    <t>Accompagnant Éducatif et Social</t>
  </si>
  <si>
    <t>Ouvrier Professionnel</t>
  </si>
  <si>
    <t>Assistant de Service Social</t>
  </si>
  <si>
    <t>Autres grades catégorie A</t>
  </si>
  <si>
    <t>Autres grades catégorie B</t>
  </si>
  <si>
    <t>Autres grades catégorie C</t>
  </si>
  <si>
    <t>MHS</t>
  </si>
  <si>
    <t>Avis CSE :</t>
  </si>
  <si>
    <t>Date CSE :</t>
  </si>
  <si>
    <t>TRANSPORT - VÉHICULE PERSONNEL</t>
  </si>
  <si>
    <t xml:space="preserve">Le directeur, signataire, certifie avoir autorisé exceptionnellement l'agent désigné ci-dessus, à utiliser son véhicule personnel dans les conditions prévues à l'article 29 du </t>
  </si>
  <si>
    <t>Décret n°92-566 du 25 juin 1992, compte tenu soit de l'absence permanente ou occassionnelle de transport en commun de la résidence administrative au lieu de formation,</t>
  </si>
  <si>
    <t>soit de l'économie substantielle (financière ou de temps) réalisée en utilisant un autre moyen de locomotion que les transport en commun.</t>
  </si>
  <si>
    <t>Autocar, bus, métro, tramway</t>
  </si>
  <si>
    <t>Indemnisation des frais de transport sur la base d'indemnités kilométriques la moins onéreuse, dont les taux sont fixés par un arrêté ministériel :</t>
  </si>
  <si>
    <t>Conformément aux renseignements de l'onglet DAPEC, l'établissement :</t>
  </si>
  <si>
    <t>présente une demande de prise en charge pour le compte de l'agent :</t>
  </si>
  <si>
    <t>pour suivre la formation intitulée :</t>
  </si>
  <si>
    <t>Formation</t>
  </si>
  <si>
    <t>d'une durée légale de :</t>
  </si>
  <si>
    <t>Il en résulte que la demande de prise en charge correspond à :</t>
  </si>
  <si>
    <t>Formation en continu. Prise en charge mensuelle suivant le grade de l'agent</t>
  </si>
  <si>
    <t>Agent service hospitalier qualifié</t>
  </si>
  <si>
    <t>Accompagnant éducatif et social</t>
  </si>
  <si>
    <t>Auxiliaire puériculture</t>
  </si>
  <si>
    <t>Ouvrier professionnel</t>
  </si>
  <si>
    <t>Infirmier bloc opératoire</t>
  </si>
  <si>
    <t>Préparateur pharmacie hospitalière</t>
  </si>
  <si>
    <t>Diplôme d’État d’Accompagnant Éducatif et Social - DEAES</t>
  </si>
  <si>
    <t>Formation en discontinu. Prise en charge mensuelle suivant le grade de l'agent</t>
  </si>
  <si>
    <t xml:space="preserve">Ce tableau est AUTO ALIMENTÉ par les onglets à compléter (Dépl., Trait., Enseigt.) </t>
  </si>
  <si>
    <t>Demande de prise en charge des frais de déplacement :</t>
  </si>
  <si>
    <t>Choisir :</t>
  </si>
  <si>
    <t>Pour tous les autres diplômes</t>
  </si>
  <si>
    <t>Prise en charge plafonnée sur fonds mutualisés</t>
  </si>
  <si>
    <t>Établissement de moins de 300 agents</t>
  </si>
  <si>
    <t>Cofinancement obligatoire par dossier</t>
  </si>
  <si>
    <t>Pièces à joindre au dossier :</t>
  </si>
  <si>
    <t>Joindre le bulletin de paie</t>
  </si>
  <si>
    <t>Un dossier nominatif par mail comportant l'ensemble des pièces de la demande de prise en charge (demander un accusé de réception).</t>
  </si>
  <si>
    <t>Attestation d'admission ;</t>
  </si>
  <si>
    <t>Bulletin de paie ;</t>
  </si>
  <si>
    <t>Carte grise du véhicule de l'agent (si demande IK) ;</t>
  </si>
  <si>
    <t>Le relevé des droits à la formation (si mobilisation CPF).</t>
  </si>
  <si>
    <t>Offre de financement</t>
  </si>
  <si>
    <r>
      <rPr>
        <b/>
        <sz val="14"/>
        <color rgb="FF00B050"/>
        <rFont val="Wingdings"/>
        <charset val="2"/>
      </rPr>
      <t>ü</t>
    </r>
    <r>
      <rPr>
        <b/>
        <sz val="14"/>
        <color rgb="FF00B050"/>
        <rFont val="Verdana"/>
        <family val="2"/>
      </rPr>
      <t>   1</t>
    </r>
    <r>
      <rPr>
        <b/>
        <vertAlign val="superscript"/>
        <sz val="14"/>
        <color rgb="FF00B050"/>
        <rFont val="Verdana"/>
        <family val="2"/>
      </rPr>
      <t>ère</t>
    </r>
    <r>
      <rPr>
        <b/>
        <sz val="14"/>
        <color rgb="FF00B050"/>
        <rFont val="Verdana"/>
        <family val="2"/>
      </rPr>
      <t xml:space="preserve"> répartition :</t>
    </r>
  </si>
  <si>
    <t>2 000 € / année scolaire</t>
  </si>
  <si>
    <t>Heures de formation</t>
  </si>
  <si>
    <t>Durée en mois</t>
  </si>
  <si>
    <t>au lieu de formation :</t>
  </si>
  <si>
    <t>Lieu de départ (résidence familiale) :</t>
  </si>
  <si>
    <t>Lieu de départ (résidence administrative) :</t>
  </si>
  <si>
    <t>et retour, nbre kilomètres :</t>
  </si>
  <si>
    <r>
      <t xml:space="preserve">ANNÉE CIVILE </t>
    </r>
    <r>
      <rPr>
        <b/>
        <sz val="18"/>
        <color theme="0"/>
        <rFont val="Verdana"/>
        <family val="2"/>
      </rPr>
      <t>2027</t>
    </r>
  </si>
  <si>
    <t>Diplôme d'État d'Aide-Soignant (1540 heures) - DEAS</t>
  </si>
  <si>
    <t>Diplôme d'État d'Aide-Soignant (1365 heures) - DEAS</t>
  </si>
  <si>
    <t>Examen des demandes</t>
  </si>
  <si>
    <t>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t>
  </si>
  <si>
    <t>* MHS : Métiers Hors Structure - Nous vous rappelons que vous pouvez présenter des dossiers d'agents reçus même si vous ne disposez pas dans votre structure, du grade ou de l'emploi correspondant au diplôme préparé. La volonté des instances de la région Nouvelle Aquitaine est de mutualiser les fonds dédiés aux études promotionnelles dans le cadre du principe d’unicité de la Fonction Publique Hospitalière. L’éventuel accord de prise en charge ne sera pas pris en compte ni dans le décompte du nombre de dossiers demandés ni dans le calcul des financements déjà obtenus.</t>
  </si>
  <si>
    <t>Droits Universitaires *</t>
  </si>
  <si>
    <t>Frais d'inscription</t>
  </si>
  <si>
    <t>Une formation est considéré comme étant « en discontinu » lorsque la formation est constituée de plusieurs sessions qui alternent avec des périodes de reprises de travail. Les périodes de stage au sein de l'établissement ne sont pas considérées comme des périodes de reprises de travail.</t>
  </si>
  <si>
    <r>
      <t xml:space="preserve">Note d'information interministerielle n° DGOS/RH1/ DGESIP/2018/225 du 28/09/2018
</t>
    </r>
    <r>
      <rPr>
        <b/>
        <sz val="12"/>
        <rFont val="Verdana"/>
        <family val="2"/>
      </rPr>
      <t>Les étudiants qui sont inscrits dans une formation prise en charge par un employeur (formation continue), qui sont inscrits dans le cadre d’une convention passée avec leur établissement d’origine, n’ont pas à s’acquitter de cette CVEC</t>
    </r>
    <r>
      <rPr>
        <sz val="12"/>
        <rFont val="Verdana"/>
        <family val="2"/>
      </rPr>
      <t>.</t>
    </r>
  </si>
  <si>
    <t>Droits universitaires</t>
  </si>
  <si>
    <t>https://www.legifrance.gouv.fr/jorf/id/JORFTEXT000048092179</t>
  </si>
  <si>
    <t>Educateur Spécialisé</t>
  </si>
  <si>
    <t>aquitaine@anfh.fr</t>
  </si>
  <si>
    <t>AQU001 - CH LANMARY</t>
  </si>
  <si>
    <t>AQU002 - EHPAD BEAUMONT / PERIGORD</t>
  </si>
  <si>
    <t>AQU036 - CH D'ARCACHON</t>
  </si>
  <si>
    <t>AQU052 - POLE PUBLIC MEDICO-SOCIAL MONSEGUR</t>
  </si>
  <si>
    <t>AQU054 - ESPASS - EHPAD PODENSAC</t>
  </si>
  <si>
    <t>AQU056 - EHPAD ST ANDRE DE CUBZAC</t>
  </si>
  <si>
    <t>AQU057 - CH STE FOY LA GRANDE</t>
  </si>
  <si>
    <t>AQU058 - ST MACAIRE</t>
  </si>
  <si>
    <t>AQU079 - EHPAD ST MARTIN DE SEIGNANX</t>
  </si>
  <si>
    <t>AQU080 - CH ST SEVER</t>
  </si>
  <si>
    <t>AQU085 - FDE MONT-DE-MARSAN</t>
  </si>
  <si>
    <t>AQU086 - CH AGEN-NERAC</t>
  </si>
  <si>
    <t>AQU106 - CHD LA CANDELIE</t>
  </si>
  <si>
    <t>AQU107 - EHPAD PORT STE MARIE</t>
  </si>
  <si>
    <t>AQU108 - EHPAD STE LIVRADE SUR LOT</t>
  </si>
  <si>
    <t>AQU124 - CENTRE GERONTOLOGIQUE DE PONTACQ-NAY-JURANCON</t>
  </si>
  <si>
    <t>AQU136 - EPS GARAZI</t>
  </si>
  <si>
    <t>AQU138 - CENTRE FAMILIAL MONT-DE-MARSAN</t>
  </si>
  <si>
    <t>AQU139 - IME MONT-DE-MARSAN</t>
  </si>
  <si>
    <t>AQU144 - ETABLISSEMENT PUBLIC DPTAL CLAIRVIVRE</t>
  </si>
  <si>
    <t>AQU151 - GCS- SERVICES INTERHOSPITALIERS DE LOT-ET-GARONNE</t>
  </si>
  <si>
    <t>AQU153 - EHPAD ST CYPRIEN</t>
  </si>
  <si>
    <t>AQU154 - MAS ST PAUL LES DAX</t>
  </si>
  <si>
    <t>AQU017 - CHIC RIBERAC DRONNE DOUBLE</t>
  </si>
  <si>
    <t>Oui, forfait mensuel</t>
  </si>
  <si>
    <t>Oui, frais réels</t>
  </si>
  <si>
    <t>*</t>
  </si>
  <si>
    <r>
      <rPr>
        <b/>
        <sz val="10"/>
        <rFont val="Verdana"/>
        <family val="2"/>
      </rPr>
      <t>Ouverture des droits à la prise en charge des frais de déplacement :</t>
    </r>
    <r>
      <rPr>
        <sz val="10"/>
        <rFont val="Verdana"/>
        <family val="2"/>
      </rPr>
      <t xml:space="preserve">
L’agent disposant d’un ordre de mission, appelé à se déplacer hors de sa résidence administrative et hors de sa résidence familiale pour suivre une action de formation peut prétendre à la prise en charge de ses frais de déplacement.
L’indemnité susceptible d’être allouée se décompose comme suit :
• Une indemnité de repas, lorsque l’agent se trouve en mission pendant la totalité de la période comprise entre 11 heures et 14 heures, pour le repas de midi ;
• Une indemnité de repas, lorsque l’agent se trouve en mission pendant la totalité de la période comprise entre 18 heures et 21 heures, pour le repas du soir ;
• Une indemnité de nuitée, lorsque l’agent se trouve en mission pendant la totalité de la période comprise entre 0 heure et 5 heures, pour la chambre et le petit déjeuner.
</t>
    </r>
    <r>
      <rPr>
        <b/>
        <sz val="10"/>
        <rFont val="Verdana"/>
        <family val="2"/>
      </rPr>
      <t>Les frais de repas</t>
    </r>
    <r>
      <rPr>
        <sz val="10"/>
        <rFont val="Verdana"/>
        <family val="2"/>
      </rPr>
      <t xml:space="preserve">, le taux de remboursement est fixé à 20,00 €. L’indemnité de repas est réduite de 50% lorsque les agents ont la possibilité de se rendre dans un restaurant administratif ou assimilé.
Simplification des procédures pour les formations longues lorsque l’agent opte pour un hébergement sous forme de location : Remboursement forfaitaire mensuel des frais de repas du midi et du soir sur une base de 320 € sans production de justificatifs. Paiement à concurrence de 11 mois par an maximum.
</t>
    </r>
    <r>
      <rPr>
        <b/>
        <sz val="10"/>
        <rFont val="Verdana"/>
        <family val="2"/>
      </rPr>
      <t xml:space="preserve">Les frais de transport </t>
    </r>
    <r>
      <rPr>
        <sz val="10"/>
        <rFont val="Verdana"/>
        <family val="2"/>
      </rPr>
      <t xml:space="preserve">peuvent être remboursés à raison d’un voyage aller-retour par session. Toutefois, le remboursement des frais afférents à des transports quotidiens peut être envisagé si l’établissement atteste du caractère plus économique de la dépense, en comparaison avec les indemnités journalières de repas et découchés susceptibles d’être allouées.
Utilisation du véhicule personnel sous certaines conditions.
Les agents peuvent utiliser leur véhicule personnel sur autorisation de l’établissement sous réserve que les intéressés souscrivent une police d’assurance garantissant d’une manière illimitée leurs responsabilités personnelles.
Les autorisations ne sont délivrées que si l’utilisation du véhicule personnel entraîne une économie ou un gain de temps.
Les agents peuvent être indemnisés de leurs frais de transport sur la base des indemnités kilométriques en fonction du kilométrage parcouru entre le 1er janvier et le 31 décembre de chaque année et d’après un taux correspondant à la puissance fiscale de leur véhicule.
</t>
    </r>
    <r>
      <rPr>
        <b/>
        <sz val="10"/>
        <rFont val="Verdana"/>
        <family val="2"/>
      </rPr>
      <t>Les frais d’hébergement</t>
    </r>
    <r>
      <rPr>
        <sz val="10"/>
        <rFont val="Verdana"/>
        <family val="2"/>
      </rPr>
      <t>, les taux applicables varient selon le lieu de la formation et selon la durée de la mission. Ils couvrent les nuitées, les petits déjeuners et taxes de séjour. La dégressivité s’applique sur l’ensemble de la formation, qu’elle soit annuelle ou pluriannuelle.
Prise en charge d’un loyer dans le cadre des formations longues. Le remboursement est possible si cette solution s’avère plus économique que l’hôtel. Il convient dans ce cas d’exiger une quittance de loyer comportant : • Le nom et l’adresse du bailleur ; • Le nom et l’adresse du locataire ; • Montant du loyer ; • Montant des charges ; • Période concernée par le paiement ; • Montant de la somme perçue ; • Signature du propriétaire.
La double résidence doit être justifié chaque année par la fourniture d’une facture (EDF par exemple) et du bail. Paiement à concurrence de 11 mois par an maximum.</t>
    </r>
  </si>
  <si>
    <t>Priorités ANFH (Métiers Hors Structure)</t>
  </si>
  <si>
    <t>Critères de priorités</t>
  </si>
  <si>
    <r>
      <rPr>
        <b/>
        <sz val="14"/>
        <color rgb="FF00B050"/>
        <rFont val="Wingdings"/>
        <charset val="2"/>
      </rPr>
      <t>ü</t>
    </r>
    <r>
      <rPr>
        <b/>
        <sz val="14"/>
        <color rgb="FF00B050"/>
        <rFont val="Verdana"/>
        <family val="2"/>
      </rPr>
      <t>   2</t>
    </r>
    <r>
      <rPr>
        <b/>
        <vertAlign val="superscript"/>
        <sz val="14"/>
        <color rgb="FF00B050"/>
        <rFont val="Verdana"/>
        <family val="2"/>
      </rPr>
      <t>ème</t>
    </r>
    <r>
      <rPr>
        <b/>
        <sz val="14"/>
        <color rgb="FF00B050"/>
        <rFont val="Verdana"/>
        <family val="2"/>
      </rPr>
      <t xml:space="preserve"> répartition</t>
    </r>
    <r>
      <rPr>
        <b/>
        <sz val="14"/>
        <color rgb="FF00B050"/>
        <rFont val="Verdana"/>
        <family val="2"/>
        <charset val="2"/>
      </rPr>
      <t xml:space="preserve"> :</t>
    </r>
  </si>
  <si>
    <t>Selon les diplômes régionaux prioritaires, qui sont :</t>
  </si>
  <si>
    <t>Priorités Établissements (selon les priorités définies par l'établissement)</t>
  </si>
  <si>
    <t>Panel 3 : Priorité 1 automatiquement accordée</t>
  </si>
  <si>
    <t>Secteur handicap/enfance/famille : DE Educ. Spéc. / DEAES.</t>
  </si>
  <si>
    <t>Taux horaire</t>
  </si>
  <si>
    <t>Dossiers avec mobilisation du CPF</t>
  </si>
  <si>
    <t>Les établissements du panel 1 bénéficient d'une prise en charge sur fonds mutualisés de 75% du coût total du dossier ;</t>
  </si>
  <si>
    <t>Les établissements du panel 2 bénéficient d'une prise en charge sur fonds mutualisés de 85% du coût total du dossier ;</t>
  </si>
  <si>
    <t>Les établissements du panel 3 doivent financer sur les crédits du plan l'étude promotionnelle à hauteur de 2.000 € par année scolaire.</t>
  </si>
  <si>
    <t>L'agent doit signer l'imprimé mobilisation des heures CPF (voir onglet CPF).</t>
  </si>
  <si>
    <t>Demande non prioritaire dès la deuxième répartition</t>
  </si>
  <si>
    <t>N° INSEE (Sécurité Sociale)</t>
  </si>
  <si>
    <t>Mobilisation du CPF au titre de l'année 2025</t>
  </si>
  <si>
    <t>Nombre d'heures totales mobilisées au titre du CPF pour l'année 2025 :</t>
  </si>
  <si>
    <r>
      <t xml:space="preserve">ANNÉE CIVILE </t>
    </r>
    <r>
      <rPr>
        <b/>
        <sz val="18"/>
        <color theme="0"/>
        <rFont val="Verdana"/>
        <family val="2"/>
      </rPr>
      <t>2028</t>
    </r>
  </si>
  <si>
    <r>
      <rPr>
        <b/>
        <u/>
        <sz val="11"/>
        <rFont val="Verdana"/>
        <family val="2"/>
      </rPr>
      <t>Droits Universitaires*</t>
    </r>
    <r>
      <rPr>
        <sz val="11"/>
        <rFont val="Verdana"/>
        <family val="2"/>
      </rPr>
      <t xml:space="preserve"> Arrêté du 17 juin 2021 portant modification de l'arrêté du 19 avril 2019 relatif aux droits d'inscription dans les établissements publics d'enseignement supérieur relevant du ministre chargé de l'enseignement supérieur.
</t>
    </r>
    <r>
      <rPr>
        <sz val="8"/>
        <rFont val="Verdana"/>
        <family val="2"/>
      </rPr>
      <t xml:space="preserve">
</t>
    </r>
    <r>
      <rPr>
        <sz val="11"/>
        <rFont val="Verdana"/>
        <family val="2"/>
      </rPr>
      <t>Montant des droits d'inscription de l'année universitaire 2025-2026 pour les usagers :
     Diplôme de formation générale en sciences médicales 175 € ;
     Diplôme de formation approfondie en sciences médicales 250 €
     Certificat de capacité d’orthoptiste : 340 €
     Diplôme d’État de pharmacien : 250 € ;
     Certificat de capacité d’orthophoniste : 555 €
     Diplôme d’État de psychomotricien : 1.354 €.</t>
    </r>
  </si>
  <si>
    <t>Contribution Vie Etudiante &amp; Campus (CVEC) de 103 €</t>
  </si>
  <si>
    <t>2025 / 2026</t>
  </si>
  <si>
    <t>2026 /2027</t>
  </si>
  <si>
    <t>2027 / 2028</t>
  </si>
  <si>
    <r>
      <t>Comité Territorial du jeudi</t>
    </r>
    <r>
      <rPr>
        <b/>
        <sz val="28"/>
        <rFont val="Verdana"/>
        <family val="2"/>
      </rPr>
      <t xml:space="preserve"> 03 juillet 2025</t>
    </r>
  </si>
  <si>
    <r>
      <t xml:space="preserve">Dossiers à retourner avant le </t>
    </r>
    <r>
      <rPr>
        <b/>
        <sz val="28"/>
        <rFont val="Verdana"/>
        <family val="2"/>
      </rPr>
      <t>26 mai 2025</t>
    </r>
    <r>
      <rPr>
        <b/>
        <sz val="16"/>
        <rFont val="Verdana"/>
        <family val="2"/>
      </rPr>
      <t xml:space="preserve"> à :</t>
    </r>
  </si>
  <si>
    <t xml:space="preserve">Panel 1 &amp; 2 : 1 ou plusieurs dossiers à concurrence de 94.1% des cotisations N-1 FMEP </t>
  </si>
  <si>
    <r>
      <rPr>
        <b/>
        <sz val="14"/>
        <color rgb="FF00B050"/>
        <rFont val="Wingdings"/>
        <charset val="2"/>
      </rPr>
      <t>ü</t>
    </r>
    <r>
      <rPr>
        <b/>
        <sz val="14"/>
        <color rgb="FF00B050"/>
        <rFont val="Verdana"/>
        <family val="2"/>
      </rPr>
      <t>  A partir de la 2nde répartition, priorité donnée aux :</t>
    </r>
  </si>
  <si>
    <r>
      <t xml:space="preserve">Éts Panel 1 &amp; 2 </t>
    </r>
    <r>
      <rPr>
        <b/>
        <sz val="10"/>
        <rFont val="Verdana"/>
        <family val="2"/>
      </rPr>
      <t>ayant le taux d’EP dans les plans N-1 &gt; ou = à la moy nationale</t>
    </r>
  </si>
  <si>
    <r>
      <t xml:space="preserve">Éts Panel 3 </t>
    </r>
    <r>
      <rPr>
        <b/>
        <sz val="10"/>
        <rFont val="Verdana"/>
        <family val="2"/>
      </rPr>
      <t>ayant les taux de traitement dans les plans (hors EP) N-1 &lt;ou= à la moy nationale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</si>
</sst>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_-* #,##0.00\ _€_-;\-* #,##0.00\ _€_-;_-* &quot;-&quot;??\ _€_-;_-@_-"/>
    <numFmt numFmtId="165" formatCode="#,##0.00\ &quot;€&quot;"/>
    <numFmt numFmtId="166" formatCode="_-* #,##0.00\ [$€-1]_-;\-* #,##0.00\ [$€-1]_-;_-* &quot;-&quot;??\ [$€-1]_-"/>
    <numFmt numFmtId="167" formatCode="[$-40C]d\ mmmm\ yyyy;@"/>
    <numFmt numFmtId="168" formatCode="dd\-mmm\-yyyy"/>
    <numFmt numFmtId="169" formatCode="[&gt;=103000000000000]##&quot; &quot;##&quot; &quot;#####&quot; &quot;##&quot; | &quot;##;##&quot; &quot;###&quot; &quot;###&quot; &quot;#####"/>
    <numFmt numFmtId="170" formatCode="###&quot; &quot;###&quot; &quot;###&quot; &quot;#####"/>
    <numFmt numFmtId="171" formatCode="##&quot; &quot;##&quot; &quot;#####&quot; &quot;##"/>
    <numFmt numFmtId="172" formatCode="#,##0.0"/>
    <numFmt numFmtId="173" formatCode="#,##0\ &quot;€&quot;"/>
    <numFmt numFmtId="174" formatCode="[&gt;=3000000000000]#&quot; &quot;##&quot; &quot;##&quot; &quot;##&quot; &quot;###&quot; &quot;###&quot; | &quot;##;#&quot; &quot;##&quot; &quot;##&quot; &quot;##&quot; &quot;###&quot; &quot;###"/>
  </numFmts>
  <fonts count="88">
    <font>
      <sz val="10"/>
      <name val="Arial"/>
    </font>
    <font>
      <sz val="10"/>
      <name val="Arial"/>
      <family val="2"/>
    </font>
    <font>
      <u/>
      <sz val="10"/>
      <color indexed="12"/>
      <name val="Arial"/>
      <family val="2"/>
    </font>
    <font>
      <sz val="11"/>
      <name val="Verdana"/>
      <family val="2"/>
    </font>
    <font>
      <sz val="10"/>
      <name val="Verdana"/>
      <family val="2"/>
    </font>
    <font>
      <sz val="3"/>
      <name val="Verdana"/>
      <family val="2"/>
    </font>
    <font>
      <sz val="14"/>
      <name val="Verdana"/>
      <family val="2"/>
    </font>
    <font>
      <sz val="12"/>
      <color theme="1"/>
      <name val="Verdana"/>
      <family val="2"/>
    </font>
    <font>
      <b/>
      <sz val="11"/>
      <color theme="3"/>
      <name val="Verdana"/>
      <family val="2"/>
    </font>
    <font>
      <sz val="11"/>
      <color theme="3"/>
      <name val="Verdana"/>
      <family val="2"/>
    </font>
    <font>
      <sz val="10"/>
      <color theme="3"/>
      <name val="Verdana"/>
      <family val="2"/>
    </font>
    <font>
      <b/>
      <sz val="12"/>
      <color theme="3"/>
      <name val="Verdana"/>
      <family val="2"/>
    </font>
    <font>
      <sz val="8"/>
      <color theme="0"/>
      <name val="Verdana"/>
      <family val="2"/>
    </font>
    <font>
      <sz val="11"/>
      <color theme="0"/>
      <name val="Verdana"/>
      <family val="2"/>
    </font>
    <font>
      <sz val="10"/>
      <color theme="0"/>
      <name val="Verdana"/>
      <family val="2"/>
    </font>
    <font>
      <sz val="14"/>
      <color theme="0"/>
      <name val="Verdana"/>
      <family val="2"/>
    </font>
    <font>
      <b/>
      <sz val="16"/>
      <color theme="0"/>
      <name val="Verdana"/>
      <family val="2"/>
    </font>
    <font>
      <b/>
      <sz val="14"/>
      <color theme="3"/>
      <name val="Verdana"/>
      <family val="2"/>
    </font>
    <font>
      <b/>
      <sz val="20"/>
      <color theme="0"/>
      <name val="Verdana"/>
      <family val="2"/>
    </font>
    <font>
      <b/>
      <sz val="14"/>
      <color theme="0"/>
      <name val="Verdana"/>
      <family val="2"/>
    </font>
    <font>
      <b/>
      <sz val="14"/>
      <color rgb="FFFF0000"/>
      <name val="Verdana"/>
      <family val="2"/>
    </font>
    <font>
      <sz val="13"/>
      <color theme="3"/>
      <name val="Verdana"/>
      <family val="2"/>
    </font>
    <font>
      <sz val="13"/>
      <color theme="0"/>
      <name val="Verdana"/>
      <family val="2"/>
    </font>
    <font>
      <b/>
      <sz val="11"/>
      <name val="Verdana"/>
      <family val="2"/>
    </font>
    <font>
      <b/>
      <sz val="18"/>
      <color theme="0"/>
      <name val="Verdana"/>
      <family val="2"/>
    </font>
    <font>
      <sz val="18"/>
      <name val="Verdana"/>
      <family val="2"/>
    </font>
    <font>
      <sz val="12"/>
      <name val="Verdana"/>
      <family val="2"/>
    </font>
    <font>
      <b/>
      <sz val="10"/>
      <name val="Verdana"/>
      <family val="2"/>
    </font>
    <font>
      <b/>
      <u/>
      <sz val="11"/>
      <name val="Verdana"/>
      <family val="2"/>
    </font>
    <font>
      <b/>
      <sz val="14"/>
      <name val="Verdana"/>
      <family val="2"/>
    </font>
    <font>
      <sz val="9"/>
      <name val="Verdana"/>
      <family val="2"/>
    </font>
    <font>
      <b/>
      <sz val="12"/>
      <name val="Verdana"/>
      <family val="2"/>
    </font>
    <font>
      <u/>
      <sz val="12"/>
      <name val="Verdana"/>
      <family val="2"/>
    </font>
    <font>
      <b/>
      <sz val="8"/>
      <name val="Verdana"/>
      <family val="2"/>
    </font>
    <font>
      <sz val="13"/>
      <name val="Verdana"/>
      <family val="2"/>
    </font>
    <font>
      <b/>
      <sz val="20"/>
      <name val="Verdana"/>
      <family val="2"/>
    </font>
    <font>
      <b/>
      <sz val="16"/>
      <name val="Verdana"/>
      <family val="2"/>
    </font>
    <font>
      <b/>
      <sz val="18"/>
      <name val="Verdana"/>
      <family val="2"/>
    </font>
    <font>
      <u/>
      <sz val="10"/>
      <name val="Arial"/>
      <family val="2"/>
    </font>
    <font>
      <sz val="12"/>
      <name val="Wingdings"/>
      <charset val="2"/>
    </font>
    <font>
      <sz val="8"/>
      <name val="Verdana"/>
      <family val="2"/>
    </font>
    <font>
      <sz val="7"/>
      <name val="Verdana"/>
      <family val="2"/>
    </font>
    <font>
      <vertAlign val="superscript"/>
      <sz val="8"/>
      <name val="Verdana"/>
      <family val="2"/>
    </font>
    <font>
      <sz val="5"/>
      <name val="Verdana"/>
      <family val="2"/>
    </font>
    <font>
      <b/>
      <sz val="3"/>
      <name val="Verdana"/>
      <family val="2"/>
    </font>
    <font>
      <sz val="11"/>
      <color rgb="FFFF0000"/>
      <name val="Verdana"/>
      <family val="2"/>
    </font>
    <font>
      <sz val="14"/>
      <color rgb="FFFF0000"/>
      <name val="Verdana"/>
      <family val="2"/>
    </font>
    <font>
      <sz val="3"/>
      <color rgb="FFFF0000"/>
      <name val="Verdana"/>
      <family val="2"/>
    </font>
    <font>
      <sz val="18"/>
      <color rgb="FFFF0000"/>
      <name val="Verdana"/>
      <family val="2"/>
    </font>
    <font>
      <sz val="12"/>
      <color rgb="FFFF0000"/>
      <name val="Verdana"/>
      <family val="2"/>
    </font>
    <font>
      <sz val="16"/>
      <color theme="0"/>
      <name val="Verdana"/>
      <family val="2"/>
    </font>
    <font>
      <u/>
      <sz val="8"/>
      <color indexed="12"/>
      <name val="Arial"/>
      <family val="2"/>
    </font>
    <font>
      <sz val="8"/>
      <name val="Arial"/>
      <family val="2"/>
    </font>
    <font>
      <b/>
      <sz val="11"/>
      <color theme="1" tint="0.499984740745262"/>
      <name val="Verdana"/>
      <family val="2"/>
    </font>
    <font>
      <b/>
      <sz val="8"/>
      <color theme="3"/>
      <name val="Verdana"/>
      <family val="2"/>
    </font>
    <font>
      <sz val="8"/>
      <color theme="3"/>
      <name val="Verdana"/>
      <family val="2"/>
    </font>
    <font>
      <sz val="5"/>
      <color rgb="FFFF0000"/>
      <name val="Verdana"/>
      <family val="2"/>
    </font>
    <font>
      <sz val="10"/>
      <color rgb="FFFF0000"/>
      <name val="Verdana"/>
      <family val="2"/>
    </font>
    <font>
      <sz val="10.5"/>
      <name val="Verdana"/>
      <family val="2"/>
    </font>
    <font>
      <b/>
      <sz val="28"/>
      <color rgb="FFFFFFFF"/>
      <name val="Verdana"/>
      <family val="2"/>
    </font>
    <font>
      <b/>
      <sz val="28"/>
      <color theme="0"/>
      <name val="Verdana"/>
      <family val="2"/>
    </font>
    <font>
      <b/>
      <sz val="14"/>
      <color rgb="FF00B050"/>
      <name val="Verdana"/>
      <family val="2"/>
    </font>
    <font>
      <b/>
      <sz val="14"/>
      <color rgb="FF00B050"/>
      <name val="Wingdings"/>
      <charset val="2"/>
    </font>
    <font>
      <b/>
      <vertAlign val="superscript"/>
      <sz val="14"/>
      <color rgb="FF00B050"/>
      <name val="Verdana"/>
      <family val="2"/>
    </font>
    <font>
      <sz val="14"/>
      <color theme="3"/>
      <name val="Verdana"/>
      <family val="2"/>
    </font>
    <font>
      <b/>
      <sz val="14"/>
      <color rgb="FFFFFFFF"/>
      <name val="Verdana"/>
      <family val="2"/>
    </font>
    <font>
      <sz val="14"/>
      <color rgb="FFFFFFFF"/>
      <name val="Verdana"/>
      <family val="2"/>
    </font>
    <font>
      <b/>
      <sz val="12"/>
      <color rgb="FFFF0000"/>
      <name val="Verdana"/>
      <family val="2"/>
    </font>
    <font>
      <sz val="8"/>
      <color rgb="FFFF0000"/>
      <name val="Verdana"/>
      <family val="2"/>
    </font>
    <font>
      <sz val="9"/>
      <color theme="0"/>
      <name val="Verdana"/>
      <family val="2"/>
    </font>
    <font>
      <b/>
      <sz val="12"/>
      <color theme="1"/>
      <name val="Verdana"/>
      <family val="2"/>
    </font>
    <font>
      <sz val="3"/>
      <color theme="0"/>
      <name val="Verdana"/>
      <family val="2"/>
    </font>
    <font>
      <sz val="12"/>
      <color theme="0"/>
      <name val="Verdana"/>
      <family val="2"/>
    </font>
    <font>
      <sz val="18"/>
      <color theme="0"/>
      <name val="Verdana"/>
      <family val="2"/>
    </font>
    <font>
      <b/>
      <sz val="18"/>
      <color rgb="FFFF0000"/>
      <name val="Verdana"/>
      <family val="2"/>
    </font>
    <font>
      <b/>
      <sz val="16"/>
      <color rgb="FFFF0000"/>
      <name val="Verdana"/>
      <family val="2"/>
    </font>
    <font>
      <b/>
      <u/>
      <sz val="14"/>
      <name val="Verdana"/>
      <family val="2"/>
    </font>
    <font>
      <b/>
      <u/>
      <sz val="28"/>
      <name val="Verdana"/>
      <family val="2"/>
    </font>
    <font>
      <b/>
      <sz val="28"/>
      <name val="Verdana"/>
      <family val="2"/>
    </font>
    <font>
      <sz val="14"/>
      <name val="Arial"/>
      <family val="2"/>
    </font>
    <font>
      <sz val="8"/>
      <color rgb="FFFFFFFF"/>
      <name val="Verdana"/>
      <family val="2"/>
    </font>
    <font>
      <b/>
      <sz val="14"/>
      <color rgb="FF00B050"/>
      <name val="Verdana"/>
      <family val="2"/>
      <charset val="2"/>
    </font>
    <font>
      <sz val="10"/>
      <color rgb="FFFFFFFF"/>
      <name val="Verdana"/>
      <family val="2"/>
    </font>
    <font>
      <sz val="11"/>
      <color rgb="FFFFFFFF"/>
      <name val="Verdana"/>
      <family val="2"/>
    </font>
    <font>
      <sz val="3"/>
      <color rgb="FFFFFFFF"/>
      <name val="Verdana"/>
      <family val="2"/>
    </font>
    <font>
      <sz val="18"/>
      <color rgb="FFFFFFFF"/>
      <name val="Verdana"/>
      <family val="2"/>
    </font>
    <font>
      <sz val="12"/>
      <color rgb="FFFFFFFF"/>
      <name val="Verdana"/>
      <family val="2"/>
    </font>
    <font>
      <sz val="7"/>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B050"/>
        <bgColor indexed="64"/>
      </patternFill>
    </fill>
    <fill>
      <patternFill patternType="solid">
        <fgColor rgb="FF97FFC6"/>
        <bgColor indexed="64"/>
      </patternFill>
    </fill>
    <fill>
      <gradientFill degree="90">
        <stop position="0">
          <color theme="0"/>
        </stop>
        <stop position="1">
          <color rgb="FF00B050"/>
        </stop>
      </gradientFill>
    </fill>
  </fills>
  <borders count="1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right/>
      <top style="slantDashDot">
        <color auto="1"/>
      </top>
      <bottom/>
      <diagonal/>
    </border>
    <border>
      <left/>
      <right/>
      <top style="thin">
        <color auto="1"/>
      </top>
      <bottom style="slantDashDot">
        <color auto="1"/>
      </bottom>
      <diagonal/>
    </border>
    <border>
      <left style="thin">
        <color auto="1"/>
      </left>
      <right style="thin">
        <color auto="1"/>
      </right>
      <top style="thin">
        <color auto="1"/>
      </top>
      <bottom style="slantDashDot">
        <color auto="1"/>
      </bottom>
      <diagonal/>
    </border>
    <border>
      <left/>
      <right/>
      <top/>
      <bottom style="thick">
        <color auto="1"/>
      </bottom>
      <diagonal/>
    </border>
    <border>
      <left/>
      <right/>
      <top style="thick">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ck">
        <color auto="1"/>
      </left>
      <right style="thin">
        <color auto="1"/>
      </right>
      <top style="thin">
        <color auto="1"/>
      </top>
      <bottom/>
      <diagonal/>
    </border>
    <border>
      <left/>
      <right style="thick">
        <color auto="1"/>
      </right>
      <top style="thin">
        <color auto="1"/>
      </top>
      <bottom style="thin">
        <color auto="1"/>
      </bottom>
      <diagonal/>
    </border>
    <border>
      <left/>
      <right style="thin">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diagonal/>
    </border>
    <border>
      <left/>
      <right style="thick">
        <color auto="1"/>
      </right>
      <top style="medium">
        <color auto="1"/>
      </top>
      <bottom/>
      <diagonal/>
    </border>
    <border>
      <left/>
      <right style="thin">
        <color rgb="FF00B050"/>
      </right>
      <top/>
      <bottom/>
      <diagonal/>
    </border>
    <border>
      <left/>
      <right style="thick">
        <color auto="1"/>
      </right>
      <top/>
      <bottom style="thick">
        <color auto="1"/>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right style="thin">
        <color auto="1"/>
      </right>
      <top/>
      <bottom style="thick">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top/>
      <bottom style="thin">
        <color theme="0"/>
      </bottom>
      <diagonal/>
    </border>
    <border>
      <left style="thin">
        <color theme="0"/>
      </left>
      <right style="thin">
        <color theme="0"/>
      </right>
      <top/>
      <bottom/>
      <diagonal/>
    </border>
    <border>
      <left style="thin">
        <color theme="0"/>
      </left>
      <right/>
      <top/>
      <bottom/>
      <diagonal/>
    </border>
    <border>
      <left style="thin">
        <color rgb="FF000000"/>
      </left>
      <right/>
      <top/>
      <bottom/>
      <diagonal/>
    </border>
    <border>
      <left/>
      <right style="thin">
        <color rgb="FF000000"/>
      </right>
      <top/>
      <bottom/>
      <diagonal/>
    </border>
    <border>
      <left style="thin">
        <color rgb="FF000000"/>
      </left>
      <right/>
      <top style="slantDashDot">
        <color auto="1"/>
      </top>
      <bottom/>
      <diagonal/>
    </border>
    <border>
      <left/>
      <right style="thin">
        <color rgb="FF000000"/>
      </right>
      <top style="slantDashDot">
        <color auto="1"/>
      </top>
      <bottom/>
      <diagonal/>
    </border>
    <border>
      <left style="thin">
        <color auto="1"/>
      </left>
      <right style="thin">
        <color rgb="FF000000"/>
      </right>
      <top style="thin">
        <color auto="1"/>
      </top>
      <bottom/>
      <diagonal/>
    </border>
    <border>
      <left style="thin">
        <color rgb="FF000000"/>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auto="1"/>
      </top>
      <bottom style="slantDashDot">
        <color auto="1"/>
      </bottom>
      <diagonal/>
    </border>
    <border>
      <left style="thin">
        <color auto="1"/>
      </left>
      <right style="thin">
        <color rgb="FF000000"/>
      </right>
      <top style="thin">
        <color auto="1"/>
      </top>
      <bottom style="slantDashDot">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ck">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diagonal/>
    </border>
    <border>
      <left/>
      <right style="thick">
        <color auto="1"/>
      </right>
      <top style="thin">
        <color auto="1"/>
      </top>
      <bottom/>
      <diagonal/>
    </border>
    <border>
      <left style="thin">
        <color indexed="54"/>
      </left>
      <right style="thin">
        <color indexed="54"/>
      </right>
      <top/>
      <bottom style="thin">
        <color indexed="22"/>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right/>
      <top/>
      <bottom style="medium">
        <color auto="1"/>
      </bottom>
      <diagonal/>
    </border>
    <border>
      <left style="thick">
        <color auto="1"/>
      </left>
      <right/>
      <top/>
      <bottom style="thin">
        <color indexed="64"/>
      </bottom>
      <diagonal/>
    </border>
    <border>
      <left/>
      <right/>
      <top/>
      <bottom style="thin">
        <color indexed="64"/>
      </bottom>
      <diagonal/>
    </border>
    <border>
      <left/>
      <right style="thick">
        <color auto="1"/>
      </right>
      <top/>
      <bottom style="thin">
        <color auto="1"/>
      </bottom>
      <diagonal/>
    </border>
    <border>
      <left style="thin">
        <color indexed="54"/>
      </left>
      <right style="thin">
        <color indexed="54"/>
      </right>
      <top/>
      <bottom style="thin">
        <color indexed="22"/>
      </bottom>
      <diagonal/>
    </border>
  </borders>
  <cellStyleXfs count="5">
    <xf numFmtId="0" fontId="0" fillId="0" borderId="0"/>
    <xf numFmtId="166" fontId="1" fillId="0" borderId="0" applyFon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7" fillId="0" borderId="0"/>
  </cellStyleXfs>
  <cellXfs count="744">
    <xf numFmtId="0" fontId="0" fillId="0" borderId="0" xfId="0"/>
    <xf numFmtId="0" fontId="9" fillId="0" borderId="0" xfId="0" applyFont="1" applyAlignment="1">
      <alignment vertical="center"/>
    </xf>
    <xf numFmtId="0" fontId="10" fillId="0" borderId="0" xfId="0" applyFont="1" applyAlignment="1">
      <alignment vertical="center"/>
    </xf>
    <xf numFmtId="0" fontId="13" fillId="0" borderId="0" xfId="0" applyFont="1" applyAlignment="1" applyProtection="1">
      <alignment vertical="center"/>
      <protection hidden="1"/>
    </xf>
    <xf numFmtId="0" fontId="14" fillId="0" borderId="0" xfId="0" applyFont="1" applyAlignment="1" applyProtection="1">
      <alignment vertical="center"/>
      <protection hidden="1"/>
    </xf>
    <xf numFmtId="0" fontId="9" fillId="0" borderId="0" xfId="0" applyFont="1" applyProtection="1">
      <protection hidden="1"/>
    </xf>
    <xf numFmtId="0" fontId="9" fillId="0" borderId="0" xfId="0" applyFont="1" applyAlignment="1" applyProtection="1">
      <alignment vertical="center"/>
      <protection hidden="1"/>
    </xf>
    <xf numFmtId="0" fontId="3" fillId="0" borderId="0" xfId="0" applyFont="1" applyAlignment="1" applyProtection="1">
      <alignment vertical="center"/>
      <protection hidden="1"/>
    </xf>
    <xf numFmtId="0" fontId="10" fillId="0" borderId="0" xfId="0" applyFont="1" applyAlignment="1" applyProtection="1">
      <alignment vertical="center"/>
      <protection hidden="1"/>
    </xf>
    <xf numFmtId="0" fontId="9" fillId="0" borderId="0" xfId="0" applyFont="1"/>
    <xf numFmtId="0" fontId="13" fillId="0" borderId="0" xfId="0" applyFont="1"/>
    <xf numFmtId="0" fontId="12" fillId="0" borderId="0" xfId="0" applyFont="1" applyAlignment="1">
      <alignment vertical="center"/>
    </xf>
    <xf numFmtId="4" fontId="8" fillId="0" borderId="0" xfId="0" applyNumberFormat="1" applyFont="1" applyAlignment="1">
      <alignment vertical="center"/>
    </xf>
    <xf numFmtId="0" fontId="3" fillId="0" borderId="0" xfId="0" applyFont="1"/>
    <xf numFmtId="0" fontId="9"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horizontal="left" vertical="center"/>
    </xf>
    <xf numFmtId="168" fontId="11" fillId="0" borderId="0" xfId="0" applyNumberFormat="1" applyFont="1" applyAlignment="1">
      <alignment horizontal="left" vertical="center"/>
    </xf>
    <xf numFmtId="1" fontId="11" fillId="0" borderId="0" xfId="0" applyNumberFormat="1" applyFont="1" applyAlignment="1">
      <alignment horizontal="center" vertical="center"/>
    </xf>
    <xf numFmtId="0" fontId="11"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20" fillId="0" borderId="0" xfId="0" applyFont="1" applyAlignment="1">
      <alignment horizontal="center" vertical="center" wrapText="1"/>
    </xf>
    <xf numFmtId="0" fontId="10" fillId="0" borderId="0" xfId="0" applyFont="1" applyAlignment="1">
      <alignment horizontal="center" vertical="center"/>
    </xf>
    <xf numFmtId="169" fontId="11" fillId="0" borderId="0" xfId="0" applyNumberFormat="1"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xf>
    <xf numFmtId="0" fontId="9" fillId="0" borderId="0" xfId="0" applyFont="1" applyAlignment="1">
      <alignment horizontal="center" vertical="center"/>
    </xf>
    <xf numFmtId="0" fontId="3" fillId="0" borderId="0" xfId="0" applyFont="1" applyAlignment="1">
      <alignment vertical="center"/>
    </xf>
    <xf numFmtId="0" fontId="11" fillId="0" borderId="0" xfId="0" applyFont="1" applyAlignment="1">
      <alignment horizontal="left" vertical="center"/>
    </xf>
    <xf numFmtId="0" fontId="30" fillId="0" borderId="0" xfId="0" applyFont="1" applyAlignment="1">
      <alignment horizontal="right" vertical="center"/>
    </xf>
    <xf numFmtId="0" fontId="33" fillId="0" borderId="0" xfId="0" applyFont="1" applyAlignment="1">
      <alignment horizontal="left" vertical="center"/>
    </xf>
    <xf numFmtId="168" fontId="31" fillId="0" borderId="0" xfId="0" applyNumberFormat="1" applyFont="1" applyAlignment="1">
      <alignment horizontal="left" vertical="center"/>
    </xf>
    <xf numFmtId="0" fontId="31" fillId="0" borderId="0" xfId="0" applyFont="1" applyAlignment="1">
      <alignment horizontal="center" vertical="center"/>
    </xf>
    <xf numFmtId="0" fontId="4" fillId="0" borderId="0" xfId="0" applyFont="1" applyAlignment="1">
      <alignment horizontal="left" vertical="center"/>
    </xf>
    <xf numFmtId="0" fontId="29"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168" fontId="38" fillId="0" borderId="0" xfId="2" applyNumberFormat="1" applyFont="1" applyFill="1" applyBorder="1" applyAlignment="1" applyProtection="1">
      <alignment horizontal="left" vertical="center"/>
    </xf>
    <xf numFmtId="168" fontId="31" fillId="0" borderId="0" xfId="0" applyNumberFormat="1" applyFont="1" applyAlignment="1">
      <alignment horizontal="center" vertical="center"/>
    </xf>
    <xf numFmtId="0" fontId="31" fillId="0" borderId="0" xfId="0" applyFont="1" applyAlignment="1">
      <alignment vertical="center"/>
    </xf>
    <xf numFmtId="0" fontId="6" fillId="0" borderId="0" xfId="0" applyFont="1" applyAlignment="1">
      <alignment horizontal="center" vertical="center"/>
    </xf>
    <xf numFmtId="0" fontId="29" fillId="0" borderId="0" xfId="0" applyFont="1" applyAlignment="1">
      <alignment horizontal="center" vertical="center" wrapText="1"/>
    </xf>
    <xf numFmtId="0" fontId="23" fillId="4" borderId="0" xfId="0" applyFont="1" applyFill="1" applyAlignment="1">
      <alignment vertical="center"/>
    </xf>
    <xf numFmtId="0" fontId="3" fillId="4" borderId="0" xfId="0" applyFont="1" applyFill="1" applyAlignment="1">
      <alignment vertical="center"/>
    </xf>
    <xf numFmtId="0" fontId="40" fillId="0" borderId="0" xfId="0" applyFont="1" applyAlignment="1">
      <alignment vertical="center"/>
    </xf>
    <xf numFmtId="0" fontId="40" fillId="0" borderId="1" xfId="0" applyFont="1" applyBorder="1" applyAlignment="1">
      <alignment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0" fillId="0" borderId="0" xfId="0" applyFont="1" applyAlignment="1">
      <alignment horizontal="center" vertical="center"/>
    </xf>
    <xf numFmtId="0" fontId="33" fillId="0" borderId="0" xfId="0" applyFont="1" applyAlignment="1">
      <alignment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6" xfId="0" applyFont="1" applyBorder="1" applyAlignment="1">
      <alignment horizontal="center" vertical="center"/>
    </xf>
    <xf numFmtId="3" fontId="40" fillId="0" borderId="6" xfId="0" applyNumberFormat="1" applyFont="1" applyBorder="1" applyAlignment="1">
      <alignment vertical="center"/>
    </xf>
    <xf numFmtId="165" fontId="40" fillId="0" borderId="7" xfId="0" applyNumberFormat="1" applyFont="1" applyBorder="1" applyAlignment="1">
      <alignment horizontal="right" vertical="center"/>
    </xf>
    <xf numFmtId="165" fontId="33" fillId="0" borderId="9" xfId="0" applyNumberFormat="1" applyFont="1" applyBorder="1" applyAlignment="1">
      <alignment vertical="center"/>
    </xf>
    <xf numFmtId="3" fontId="40" fillId="0" borderId="2" xfId="0" applyNumberFormat="1" applyFont="1" applyBorder="1" applyAlignment="1">
      <alignment vertical="center"/>
    </xf>
    <xf numFmtId="0" fontId="40" fillId="0" borderId="6" xfId="0" applyFont="1" applyBorder="1" applyAlignment="1">
      <alignment horizontal="center" vertical="center"/>
    </xf>
    <xf numFmtId="0" fontId="33" fillId="0" borderId="6" xfId="0" applyFont="1" applyBorder="1" applyAlignment="1" applyProtection="1">
      <alignment horizontal="center" vertical="center"/>
      <protection locked="0"/>
    </xf>
    <xf numFmtId="3" fontId="40" fillId="0" borderId="6" xfId="0" applyNumberFormat="1" applyFont="1" applyBorder="1" applyAlignment="1">
      <alignment horizontal="right" vertical="center"/>
    </xf>
    <xf numFmtId="165" fontId="33" fillId="2" borderId="8" xfId="0" applyNumberFormat="1" applyFont="1" applyFill="1" applyBorder="1" applyAlignment="1">
      <alignment vertical="center"/>
    </xf>
    <xf numFmtId="0" fontId="40" fillId="0" borderId="4"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pplyProtection="1">
      <alignment vertical="center"/>
      <protection locked="0"/>
    </xf>
    <xf numFmtId="165" fontId="40" fillId="0" borderId="7" xfId="0" applyNumberFormat="1" applyFont="1" applyBorder="1" applyAlignment="1">
      <alignment vertical="center"/>
    </xf>
    <xf numFmtId="165" fontId="40" fillId="0" borderId="9" xfId="0" applyNumberFormat="1" applyFont="1" applyBorder="1" applyAlignment="1">
      <alignment horizontal="center" vertical="center"/>
    </xf>
    <xf numFmtId="165" fontId="40" fillId="0" borderId="7" xfId="0" applyNumberFormat="1" applyFont="1" applyBorder="1" applyAlignment="1">
      <alignment horizontal="center" vertical="center"/>
    </xf>
    <xf numFmtId="165" fontId="33" fillId="0" borderId="9" xfId="0" applyNumberFormat="1" applyFont="1" applyBorder="1" applyAlignment="1">
      <alignment horizontal="center" vertical="center"/>
    </xf>
    <xf numFmtId="0" fontId="40" fillId="0" borderId="0" xfId="0" applyFont="1" applyAlignment="1">
      <alignment vertical="center" wrapText="1"/>
    </xf>
    <xf numFmtId="0" fontId="33" fillId="2" borderId="10" xfId="0" applyFont="1" applyFill="1" applyBorder="1" applyAlignment="1">
      <alignment horizontal="center" vertical="center"/>
    </xf>
    <xf numFmtId="0" fontId="33" fillId="2" borderId="6" xfId="0" applyFont="1" applyFill="1" applyBorder="1" applyAlignment="1">
      <alignment horizontal="center" vertical="center"/>
    </xf>
    <xf numFmtId="3" fontId="33" fillId="2" borderId="6" xfId="0" applyNumberFormat="1" applyFont="1" applyFill="1" applyBorder="1" applyAlignment="1">
      <alignment horizontal="right" vertical="center"/>
    </xf>
    <xf numFmtId="3" fontId="33" fillId="2" borderId="6" xfId="0" applyNumberFormat="1" applyFont="1" applyFill="1" applyBorder="1" applyAlignment="1">
      <alignment vertical="center"/>
    </xf>
    <xf numFmtId="0" fontId="40" fillId="0" borderId="9" xfId="0" applyFont="1" applyBorder="1" applyAlignment="1">
      <alignment horizontal="center" vertical="center"/>
    </xf>
    <xf numFmtId="0" fontId="40" fillId="0" borderId="8" xfId="0" applyFont="1" applyBorder="1" applyAlignment="1">
      <alignment horizontal="left" vertical="center"/>
    </xf>
    <xf numFmtId="0" fontId="40" fillId="0" borderId="0" xfId="0" applyFont="1" applyAlignment="1">
      <alignment horizontal="left" vertical="center"/>
    </xf>
    <xf numFmtId="165" fontId="40" fillId="0" borderId="0" xfId="0" applyNumberFormat="1" applyFont="1" applyAlignment="1">
      <alignment horizontal="center" vertical="center"/>
    </xf>
    <xf numFmtId="165" fontId="40" fillId="0" borderId="0" xfId="0" applyNumberFormat="1" applyFont="1" applyAlignment="1">
      <alignment vertical="center"/>
    </xf>
    <xf numFmtId="165" fontId="40" fillId="0" borderId="7" xfId="0" applyNumberFormat="1" applyFont="1" applyBorder="1" applyAlignment="1" applyProtection="1">
      <alignment vertical="center"/>
      <protection locked="0"/>
    </xf>
    <xf numFmtId="0" fontId="33" fillId="2" borderId="6" xfId="0" applyFont="1" applyFill="1" applyBorder="1" applyAlignment="1">
      <alignment vertical="center"/>
    </xf>
    <xf numFmtId="0" fontId="23" fillId="0" borderId="0" xfId="0" applyFont="1" applyAlignment="1">
      <alignment vertical="center"/>
    </xf>
    <xf numFmtId="0" fontId="3" fillId="0" borderId="0" xfId="0" applyFont="1" applyProtection="1">
      <protection hidden="1"/>
    </xf>
    <xf numFmtId="0" fontId="6" fillId="0" borderId="0" xfId="0" applyFont="1"/>
    <xf numFmtId="0" fontId="43" fillId="0" borderId="0" xfId="0" applyFont="1"/>
    <xf numFmtId="0" fontId="26" fillId="0" borderId="0" xfId="0" applyFont="1"/>
    <xf numFmtId="0" fontId="26" fillId="0" borderId="0" xfId="0" applyFont="1" applyAlignment="1">
      <alignment vertical="center"/>
    </xf>
    <xf numFmtId="0" fontId="40" fillId="0" borderId="0" xfId="0" applyFont="1" applyAlignment="1">
      <alignment horizontal="left" vertical="center" wrapText="1"/>
    </xf>
    <xf numFmtId="0" fontId="18" fillId="4" borderId="0" xfId="0" applyFont="1" applyFill="1" applyAlignment="1">
      <alignment horizontal="left" vertical="center" indent="3"/>
    </xf>
    <xf numFmtId="0" fontId="18" fillId="4" borderId="0" xfId="0" applyFont="1" applyFill="1" applyAlignment="1">
      <alignment vertical="center"/>
    </xf>
    <xf numFmtId="0" fontId="16" fillId="4" borderId="0" xfId="0" applyFont="1" applyFill="1" applyAlignment="1">
      <alignment horizontal="right" vertical="center"/>
    </xf>
    <xf numFmtId="0" fontId="4" fillId="0" borderId="0" xfId="0" applyFont="1" applyAlignment="1">
      <alignment horizontal="center" vertical="center"/>
    </xf>
    <xf numFmtId="0" fontId="9"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4" fillId="0" borderId="2" xfId="0" applyFont="1" applyBorder="1" applyAlignment="1">
      <alignment horizontal="center" vertical="center"/>
    </xf>
    <xf numFmtId="0" fontId="4" fillId="0" borderId="11" xfId="0" applyFont="1" applyBorder="1" applyAlignment="1">
      <alignment vertical="center"/>
    </xf>
    <xf numFmtId="0" fontId="23" fillId="0" borderId="24" xfId="0" applyFont="1" applyBorder="1" applyAlignment="1">
      <alignment horizontal="right" vertical="center"/>
    </xf>
    <xf numFmtId="0" fontId="26" fillId="0" borderId="29" xfId="0" applyFont="1" applyBorder="1" applyAlignment="1">
      <alignment horizontal="center" vertical="center"/>
    </xf>
    <xf numFmtId="3" fontId="26" fillId="0" borderId="30" xfId="0" applyNumberFormat="1" applyFont="1" applyBorder="1" applyAlignment="1">
      <alignment horizontal="center" vertical="center"/>
    </xf>
    <xf numFmtId="4" fontId="31" fillId="0" borderId="35" xfId="0" applyNumberFormat="1" applyFont="1" applyBorder="1" applyAlignment="1">
      <alignment vertical="center"/>
    </xf>
    <xf numFmtId="0" fontId="4" fillId="4" borderId="0" xfId="0" applyFont="1" applyFill="1" applyAlignment="1">
      <alignment vertical="center"/>
    </xf>
    <xf numFmtId="0" fontId="5" fillId="0" borderId="0" xfId="0" applyFont="1"/>
    <xf numFmtId="0" fontId="25" fillId="0" borderId="0" xfId="0" applyFont="1"/>
    <xf numFmtId="0" fontId="44" fillId="0" borderId="0" xfId="0" applyFont="1" applyAlignment="1">
      <alignment horizontal="center"/>
    </xf>
    <xf numFmtId="0" fontId="5" fillId="0" borderId="0" xfId="0" applyFont="1" applyAlignment="1">
      <alignment vertical="center"/>
    </xf>
    <xf numFmtId="4" fontId="5" fillId="0" borderId="0" xfId="0" applyNumberFormat="1" applyFont="1" applyAlignment="1">
      <alignment vertical="center"/>
    </xf>
    <xf numFmtId="0" fontId="25" fillId="0" borderId="0" xfId="0" applyFont="1" applyAlignment="1">
      <alignment vertical="center"/>
    </xf>
    <xf numFmtId="0" fontId="31" fillId="3" borderId="0" xfId="0" applyFont="1" applyFill="1" applyAlignment="1">
      <alignment horizontal="center" vertical="center"/>
    </xf>
    <xf numFmtId="4" fontId="31" fillId="3" borderId="0" xfId="0" applyNumberFormat="1" applyFont="1" applyFill="1" applyAlignment="1">
      <alignment vertical="center"/>
    </xf>
    <xf numFmtId="0" fontId="44" fillId="0" borderId="0" xfId="0" applyFont="1"/>
    <xf numFmtId="170" fontId="26" fillId="0" borderId="37" xfId="0" applyNumberFormat="1" applyFont="1" applyBorder="1" applyAlignment="1">
      <alignment horizontal="center"/>
    </xf>
    <xf numFmtId="0" fontId="26" fillId="0" borderId="37" xfId="0" applyFont="1" applyBorder="1" applyAlignment="1">
      <alignment horizontal="center"/>
    </xf>
    <xf numFmtId="3" fontId="26" fillId="0" borderId="38" xfId="0" applyNumberFormat="1" applyFont="1" applyBorder="1" applyAlignment="1">
      <alignment horizontal="center"/>
    </xf>
    <xf numFmtId="170" fontId="26" fillId="4" borderId="6" xfId="0" applyNumberFormat="1" applyFont="1" applyFill="1" applyBorder="1" applyAlignment="1">
      <alignment horizontal="center"/>
    </xf>
    <xf numFmtId="0" fontId="26" fillId="4" borderId="6" xfId="0" applyFont="1" applyFill="1" applyBorder="1" applyAlignment="1">
      <alignment horizontal="center"/>
    </xf>
    <xf numFmtId="3" fontId="26" fillId="4" borderId="32" xfId="0" applyNumberFormat="1" applyFont="1" applyFill="1" applyBorder="1" applyAlignment="1">
      <alignment horizontal="center"/>
    </xf>
    <xf numFmtId="0" fontId="4" fillId="0" borderId="0" xfId="0" applyFont="1"/>
    <xf numFmtId="0" fontId="4" fillId="0" borderId="58" xfId="0" applyFont="1" applyBorder="1" applyAlignment="1">
      <alignment horizontal="center" vertical="center"/>
    </xf>
    <xf numFmtId="170" fontId="4" fillId="0" borderId="59" xfId="0" applyNumberFormat="1" applyFont="1" applyBorder="1" applyAlignment="1">
      <alignment horizontal="center" vertical="center"/>
    </xf>
    <xf numFmtId="0" fontId="4" fillId="0" borderId="59" xfId="0" applyFont="1" applyBorder="1" applyAlignment="1">
      <alignment horizontal="center" vertical="center"/>
    </xf>
    <xf numFmtId="4" fontId="33" fillId="0" borderId="0" xfId="0" applyNumberFormat="1" applyFont="1" applyAlignment="1">
      <alignment vertical="center"/>
    </xf>
    <xf numFmtId="0" fontId="40" fillId="0" borderId="0" xfId="0" applyFont="1" applyAlignment="1" applyProtection="1">
      <alignment vertical="center"/>
      <protection hidden="1"/>
    </xf>
    <xf numFmtId="0" fontId="4" fillId="0" borderId="56" xfId="0" applyFont="1" applyBorder="1" applyAlignment="1">
      <alignment horizontal="left"/>
    </xf>
    <xf numFmtId="0" fontId="4" fillId="0" borderId="57" xfId="0" applyFont="1" applyBorder="1" applyAlignment="1">
      <alignment horizontal="center"/>
    </xf>
    <xf numFmtId="0" fontId="4" fillId="0" borderId="57" xfId="0" applyFont="1" applyBorder="1" applyAlignment="1">
      <alignment horizontal="left"/>
    </xf>
    <xf numFmtId="3" fontId="31" fillId="3" borderId="0" xfId="0" applyNumberFormat="1" applyFont="1" applyFill="1" applyAlignment="1">
      <alignment vertical="center"/>
    </xf>
    <xf numFmtId="0" fontId="13" fillId="0" borderId="0" xfId="0" applyFont="1" applyAlignment="1">
      <alignment vertical="center"/>
    </xf>
    <xf numFmtId="49" fontId="3" fillId="0" borderId="0" xfId="0" applyNumberFormat="1" applyFont="1"/>
    <xf numFmtId="0" fontId="26" fillId="0" borderId="62" xfId="0" applyFont="1" applyBorder="1" applyAlignment="1">
      <alignment horizontal="center" vertical="center"/>
    </xf>
    <xf numFmtId="4" fontId="26" fillId="0" borderId="6" xfId="0" applyNumberFormat="1" applyFont="1" applyBorder="1" applyAlignment="1">
      <alignment horizontal="right" vertical="center"/>
    </xf>
    <xf numFmtId="4" fontId="26" fillId="0" borderId="6" xfId="0" applyNumberFormat="1" applyFont="1" applyBorder="1" applyAlignment="1">
      <alignment horizontal="right" vertical="center" wrapText="1"/>
    </xf>
    <xf numFmtId="4" fontId="26" fillId="0" borderId="32" xfId="0" applyNumberFormat="1" applyFont="1" applyBorder="1" applyAlignment="1">
      <alignment vertical="center" wrapText="1"/>
    </xf>
    <xf numFmtId="4" fontId="26" fillId="0" borderId="32" xfId="0" applyNumberFormat="1" applyFont="1" applyBorder="1" applyAlignment="1">
      <alignment vertical="center"/>
    </xf>
    <xf numFmtId="4" fontId="31" fillId="0" borderId="34" xfId="0" applyNumberFormat="1" applyFont="1" applyBorder="1" applyAlignment="1">
      <alignment vertical="center"/>
    </xf>
    <xf numFmtId="4" fontId="26" fillId="4" borderId="6" xfId="0" applyNumberFormat="1" applyFont="1" applyFill="1" applyBorder="1" applyAlignment="1">
      <alignment vertical="center"/>
    </xf>
    <xf numFmtId="4" fontId="26" fillId="4" borderId="32" xfId="0" applyNumberFormat="1" applyFont="1" applyFill="1" applyBorder="1" applyAlignment="1">
      <alignment vertical="center" wrapText="1"/>
    </xf>
    <xf numFmtId="4" fontId="26" fillId="4" borderId="32" xfId="0" applyNumberFormat="1" applyFont="1" applyFill="1" applyBorder="1" applyAlignment="1">
      <alignment vertical="center"/>
    </xf>
    <xf numFmtId="4" fontId="26" fillId="4" borderId="32" xfId="0" applyNumberFormat="1" applyFont="1" applyFill="1" applyBorder="1" applyAlignment="1">
      <alignment horizontal="right" vertical="center"/>
    </xf>
    <xf numFmtId="4" fontId="31" fillId="4" borderId="34" xfId="0" applyNumberFormat="1" applyFont="1" applyFill="1" applyBorder="1" applyAlignment="1">
      <alignment vertical="center"/>
    </xf>
    <xf numFmtId="4" fontId="31" fillId="4" borderId="35" xfId="0" applyNumberFormat="1" applyFont="1" applyFill="1" applyBorder="1" applyAlignment="1">
      <alignment horizontal="right" vertical="center"/>
    </xf>
    <xf numFmtId="4" fontId="31" fillId="3" borderId="29" xfId="0" applyNumberFormat="1" applyFont="1" applyFill="1" applyBorder="1" applyAlignment="1">
      <alignment vertical="center"/>
    </xf>
    <xf numFmtId="4" fontId="31" fillId="3" borderId="30" xfId="0" applyNumberFormat="1" applyFont="1" applyFill="1" applyBorder="1" applyAlignment="1">
      <alignment vertical="center"/>
    </xf>
    <xf numFmtId="0" fontId="3" fillId="4" borderId="71" xfId="0" applyFont="1" applyFill="1" applyBorder="1"/>
    <xf numFmtId="0" fontId="3" fillId="4" borderId="72" xfId="0" applyFont="1" applyFill="1" applyBorder="1"/>
    <xf numFmtId="0" fontId="3" fillId="4" borderId="72" xfId="0" applyFont="1" applyFill="1" applyBorder="1" applyAlignment="1">
      <alignment horizontal="left"/>
    </xf>
    <xf numFmtId="0" fontId="3" fillId="4" borderId="73" xfId="0" applyFont="1" applyFill="1" applyBorder="1"/>
    <xf numFmtId="0" fontId="3" fillId="4" borderId="74" xfId="0" applyFont="1" applyFill="1" applyBorder="1" applyAlignment="1">
      <alignment horizontal="right"/>
    </xf>
    <xf numFmtId="0" fontId="31" fillId="4" borderId="0" xfId="0" applyFont="1" applyFill="1"/>
    <xf numFmtId="0" fontId="26" fillId="4" borderId="0" xfId="0" applyFont="1" applyFill="1"/>
    <xf numFmtId="4" fontId="26" fillId="0" borderId="13" xfId="0" applyNumberFormat="1" applyFont="1" applyBorder="1" applyAlignment="1" applyProtection="1">
      <alignment vertical="center"/>
      <protection locked="0"/>
    </xf>
    <xf numFmtId="4" fontId="31" fillId="0" borderId="0" xfId="0" applyNumberFormat="1" applyFont="1" applyAlignment="1">
      <alignment vertical="center"/>
    </xf>
    <xf numFmtId="0" fontId="45" fillId="0" borderId="0" xfId="0" applyFont="1" applyAlignment="1">
      <alignment vertical="center"/>
    </xf>
    <xf numFmtId="0" fontId="46" fillId="0" borderId="0" xfId="0" applyFont="1"/>
    <xf numFmtId="0" fontId="47" fillId="0" borderId="0" xfId="0" applyFont="1"/>
    <xf numFmtId="0" fontId="48" fillId="0" borderId="0" xfId="0" applyFont="1"/>
    <xf numFmtId="0" fontId="49" fillId="0" borderId="0" xfId="0" applyFont="1"/>
    <xf numFmtId="0" fontId="49"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5" fillId="0" borderId="0" xfId="0" applyFont="1"/>
    <xf numFmtId="0" fontId="45" fillId="0" borderId="0" xfId="0" applyFont="1" applyProtection="1">
      <protection hidden="1"/>
    </xf>
    <xf numFmtId="1" fontId="9" fillId="0" borderId="0" xfId="0" applyNumberFormat="1" applyFont="1" applyAlignment="1">
      <alignment vertical="center" wrapText="1"/>
    </xf>
    <xf numFmtId="0" fontId="50" fillId="0" borderId="0" xfId="0" applyFont="1" applyAlignment="1">
      <alignment horizontal="left" vertical="center"/>
    </xf>
    <xf numFmtId="0" fontId="9" fillId="0" borderId="0" xfId="0" applyFont="1" applyAlignment="1" applyProtection="1">
      <alignment horizontal="left" vertical="center"/>
      <protection hidden="1"/>
    </xf>
    <xf numFmtId="0" fontId="13" fillId="0" borderId="0" xfId="0" applyFont="1" applyAlignment="1" applyProtection="1">
      <alignment horizontal="left" vertical="center"/>
      <protection hidden="1"/>
    </xf>
    <xf numFmtId="0" fontId="9" fillId="0" borderId="0" xfId="0" applyFont="1" applyAlignment="1">
      <alignment horizontal="left" vertical="center"/>
    </xf>
    <xf numFmtId="4" fontId="26" fillId="0" borderId="6" xfId="0" applyNumberFormat="1" applyFont="1" applyBorder="1" applyAlignment="1" applyProtection="1">
      <alignment vertical="center"/>
      <protection locked="0"/>
    </xf>
    <xf numFmtId="4" fontId="26" fillId="0" borderId="32" xfId="0" applyNumberFormat="1" applyFont="1" applyBorder="1" applyAlignment="1">
      <alignment horizontal="center" vertical="center"/>
    </xf>
    <xf numFmtId="49" fontId="3" fillId="0" borderId="0" xfId="0" applyNumberFormat="1" applyFont="1" applyAlignment="1">
      <alignment vertical="center"/>
    </xf>
    <xf numFmtId="0" fontId="3" fillId="0" borderId="0" xfId="0" applyFont="1" applyAlignment="1">
      <alignment horizontal="left" vertical="center" wrapText="1"/>
    </xf>
    <xf numFmtId="0" fontId="30" fillId="0" borderId="0" xfId="0" applyFont="1" applyAlignment="1">
      <alignment horizontal="left" vertical="center"/>
    </xf>
    <xf numFmtId="49" fontId="8" fillId="0" borderId="0" xfId="0" applyNumberFormat="1" applyFont="1"/>
    <xf numFmtId="49" fontId="9" fillId="0" borderId="0" xfId="0" applyNumberFormat="1" applyFont="1"/>
    <xf numFmtId="49" fontId="13" fillId="0" borderId="0" xfId="0" applyNumberFormat="1" applyFont="1"/>
    <xf numFmtId="49" fontId="9" fillId="0" borderId="0" xfId="0" applyNumberFormat="1" applyFont="1" applyProtection="1">
      <protection hidden="1"/>
    </xf>
    <xf numFmtId="49" fontId="13" fillId="0" borderId="0" xfId="0" applyNumberFormat="1" applyFont="1" applyAlignment="1">
      <alignment vertical="center"/>
    </xf>
    <xf numFmtId="49" fontId="9" fillId="0" borderId="0" xfId="0" applyNumberFormat="1" applyFont="1" applyAlignment="1">
      <alignment vertical="center"/>
    </xf>
    <xf numFmtId="49" fontId="9" fillId="0" borderId="0" xfId="0" applyNumberFormat="1" applyFont="1" applyAlignment="1" applyProtection="1">
      <alignment vertical="center"/>
      <protection hidden="1"/>
    </xf>
    <xf numFmtId="0" fontId="34" fillId="0" borderId="0" xfId="0" applyFont="1" applyProtection="1">
      <protection hidden="1"/>
    </xf>
    <xf numFmtId="0" fontId="22" fillId="0" borderId="0" xfId="0" applyFont="1"/>
    <xf numFmtId="0" fontId="21" fillId="0" borderId="0" xfId="0" applyFont="1"/>
    <xf numFmtId="0" fontId="21" fillId="0" borderId="0" xfId="0" applyFont="1" applyProtection="1">
      <protection hidden="1"/>
    </xf>
    <xf numFmtId="0" fontId="18" fillId="4" borderId="91" xfId="0" applyFont="1" applyFill="1" applyBorder="1" applyAlignment="1">
      <alignment vertical="center"/>
    </xf>
    <xf numFmtId="0" fontId="30" fillId="0" borderId="91" xfId="0" applyFont="1" applyBorder="1" applyAlignment="1">
      <alignment vertical="center"/>
    </xf>
    <xf numFmtId="0" fontId="30" fillId="0" borderId="91" xfId="0" applyFont="1" applyBorder="1" applyAlignment="1">
      <alignment horizontal="left" vertical="center"/>
    </xf>
    <xf numFmtId="0" fontId="4" fillId="0" borderId="91" xfId="0" applyFont="1" applyBorder="1" applyAlignment="1">
      <alignment vertical="center"/>
    </xf>
    <xf numFmtId="0" fontId="4" fillId="0" borderId="92" xfId="0" applyFont="1" applyBorder="1" applyAlignment="1">
      <alignment vertical="center"/>
    </xf>
    <xf numFmtId="0" fontId="28" fillId="0" borderId="91" xfId="0" applyFont="1" applyBorder="1" applyAlignment="1">
      <alignment vertical="center"/>
    </xf>
    <xf numFmtId="0" fontId="4" fillId="0" borderId="95" xfId="0" applyFont="1" applyBorder="1" applyAlignment="1">
      <alignment horizontal="center" vertical="center"/>
    </xf>
    <xf numFmtId="0" fontId="4" fillId="0" borderId="96" xfId="0" applyFont="1" applyBorder="1" applyAlignment="1">
      <alignment vertical="center"/>
    </xf>
    <xf numFmtId="0" fontId="4" fillId="0" borderId="98" xfId="0" applyFont="1" applyBorder="1" applyAlignment="1">
      <alignment vertical="center"/>
    </xf>
    <xf numFmtId="0" fontId="4" fillId="4" borderId="91" xfId="0" applyFont="1" applyFill="1" applyBorder="1"/>
    <xf numFmtId="0" fontId="4" fillId="4" borderId="92" xfId="0" applyFont="1" applyFill="1" applyBorder="1" applyAlignment="1">
      <alignment vertical="center"/>
    </xf>
    <xf numFmtId="0" fontId="3" fillId="0" borderId="91" xfId="0" applyFont="1" applyBorder="1" applyAlignment="1">
      <alignment horizontal="right" vertical="center"/>
    </xf>
    <xf numFmtId="168" fontId="23" fillId="0" borderId="0" xfId="0" applyNumberFormat="1" applyFont="1" applyAlignment="1" applyProtection="1">
      <alignment horizontal="left" vertical="center"/>
      <protection hidden="1"/>
    </xf>
    <xf numFmtId="0" fontId="3" fillId="0" borderId="0" xfId="0" applyFont="1" applyAlignment="1" applyProtection="1">
      <alignment vertical="center"/>
      <protection locked="0" hidden="1"/>
    </xf>
    <xf numFmtId="0" fontId="29" fillId="0" borderId="0" xfId="0" applyFont="1" applyAlignment="1" applyProtection="1">
      <alignment horizontal="center" vertical="center"/>
      <protection locked="0"/>
    </xf>
    <xf numFmtId="0" fontId="35" fillId="0" borderId="17" xfId="0" applyFont="1" applyBorder="1" applyAlignment="1">
      <alignment horizontal="left" vertical="center"/>
    </xf>
    <xf numFmtId="0" fontId="35" fillId="0" borderId="18" xfId="0" applyFont="1" applyBorder="1" applyAlignment="1">
      <alignment horizontal="left" vertical="center"/>
    </xf>
    <xf numFmtId="0" fontId="35" fillId="0" borderId="18" xfId="0" applyFont="1" applyBorder="1" applyAlignment="1">
      <alignment vertical="center"/>
    </xf>
    <xf numFmtId="0" fontId="36" fillId="0" borderId="18" xfId="0" applyFont="1" applyBorder="1" applyAlignment="1">
      <alignment horizontal="right" vertical="center"/>
    </xf>
    <xf numFmtId="49" fontId="36" fillId="0" borderId="4" xfId="0" applyNumberFormat="1" applyFont="1" applyBorder="1" applyAlignment="1">
      <alignment horizontal="center" vertical="center"/>
    </xf>
    <xf numFmtId="0" fontId="29" fillId="0" borderId="21" xfId="0" applyFont="1" applyBorder="1" applyAlignment="1">
      <alignment vertical="center"/>
    </xf>
    <xf numFmtId="0" fontId="26" fillId="0" borderId="20" xfId="0" applyFont="1" applyBorder="1" applyAlignment="1">
      <alignment vertical="center"/>
    </xf>
    <xf numFmtId="0" fontId="29" fillId="0" borderId="21" xfId="0" applyFont="1" applyBorder="1" applyAlignment="1">
      <alignment horizontal="right" vertical="center"/>
    </xf>
    <xf numFmtId="0" fontId="31" fillId="0" borderId="21" xfId="0" applyFont="1" applyBorder="1" applyAlignment="1">
      <alignment vertical="center"/>
    </xf>
    <xf numFmtId="0" fontId="4" fillId="0" borderId="21" xfId="0" applyFont="1" applyBorder="1" applyAlignment="1">
      <alignment vertical="center"/>
    </xf>
    <xf numFmtId="0" fontId="32" fillId="0" borderId="20" xfId="0" applyFont="1" applyBorder="1" applyAlignment="1">
      <alignment vertical="center"/>
    </xf>
    <xf numFmtId="0" fontId="3" fillId="0" borderId="20" xfId="0" applyFont="1" applyBorder="1" applyAlignment="1" applyProtection="1">
      <alignment vertical="center"/>
      <protection hidden="1"/>
    </xf>
    <xf numFmtId="0" fontId="3" fillId="0" borderId="21" xfId="0" applyFont="1" applyBorder="1" applyAlignment="1" applyProtection="1">
      <alignment vertical="center"/>
      <protection hidden="1"/>
    </xf>
    <xf numFmtId="0" fontId="3" fillId="0" borderId="20" xfId="0" applyFont="1" applyBorder="1" applyAlignment="1" applyProtection="1">
      <alignment horizontal="right" vertical="center"/>
      <protection hidden="1"/>
    </xf>
    <xf numFmtId="0" fontId="3" fillId="0" borderId="19" xfId="0" applyFont="1" applyBorder="1" applyAlignment="1" applyProtection="1">
      <alignment vertical="center"/>
      <protection hidden="1"/>
    </xf>
    <xf numFmtId="0" fontId="3" fillId="0" borderId="1" xfId="0" applyFont="1" applyBorder="1" applyAlignment="1" applyProtection="1">
      <alignment vertical="center"/>
      <protection hidden="1"/>
    </xf>
    <xf numFmtId="0" fontId="30" fillId="0" borderId="20" xfId="0" applyFont="1" applyBorder="1" applyAlignment="1">
      <alignment vertical="center"/>
    </xf>
    <xf numFmtId="0" fontId="29" fillId="0" borderId="0" xfId="0" applyFont="1" applyAlignment="1" applyProtection="1">
      <alignment vertical="center"/>
      <protection locked="0"/>
    </xf>
    <xf numFmtId="0" fontId="6" fillId="0" borderId="0" xfId="0" applyFont="1" applyAlignment="1">
      <alignment vertical="center"/>
    </xf>
    <xf numFmtId="4" fontId="6" fillId="0" borderId="36" xfId="0" applyNumberFormat="1" applyFont="1" applyBorder="1" applyAlignment="1" applyProtection="1">
      <alignment vertical="center" wrapText="1"/>
      <protection locked="0"/>
    </xf>
    <xf numFmtId="4" fontId="6" fillId="0" borderId="37" xfId="0" applyNumberFormat="1" applyFont="1" applyBorder="1" applyAlignment="1" applyProtection="1">
      <alignment vertical="center" wrapText="1"/>
      <protection locked="0"/>
    </xf>
    <xf numFmtId="4" fontId="6" fillId="0" borderId="38" xfId="0" applyNumberFormat="1" applyFont="1" applyBorder="1" applyAlignment="1">
      <alignment vertical="center" wrapText="1"/>
    </xf>
    <xf numFmtId="4" fontId="6" fillId="0" borderId="31" xfId="0" applyNumberFormat="1" applyFont="1" applyBorder="1" applyAlignment="1" applyProtection="1">
      <alignment vertical="center" wrapText="1"/>
      <protection locked="0"/>
    </xf>
    <xf numFmtId="4" fontId="6" fillId="0" borderId="6" xfId="0" applyNumberFormat="1" applyFont="1" applyBorder="1" applyAlignment="1" applyProtection="1">
      <alignment vertical="center" wrapText="1"/>
      <protection locked="0"/>
    </xf>
    <xf numFmtId="4" fontId="6" fillId="0" borderId="32" xfId="0" applyNumberFormat="1" applyFont="1" applyBorder="1" applyAlignment="1">
      <alignment vertical="center" wrapText="1"/>
    </xf>
    <xf numFmtId="4" fontId="6" fillId="0" borderId="60" xfId="0" applyNumberFormat="1" applyFont="1" applyBorder="1" applyAlignment="1" applyProtection="1">
      <alignment vertical="center" wrapText="1"/>
      <protection locked="0"/>
    </xf>
    <xf numFmtId="4" fontId="6" fillId="0" borderId="2" xfId="0" applyNumberFormat="1" applyFont="1" applyBorder="1" applyAlignment="1" applyProtection="1">
      <alignment vertical="center" wrapText="1"/>
      <protection locked="0"/>
    </xf>
    <xf numFmtId="4" fontId="6" fillId="0" borderId="33" xfId="0" applyNumberFormat="1" applyFont="1" applyBorder="1" applyAlignment="1" applyProtection="1">
      <alignment vertical="center"/>
      <protection locked="0"/>
    </xf>
    <xf numFmtId="4" fontId="6" fillId="0" borderId="34" xfId="0" applyNumberFormat="1" applyFont="1" applyBorder="1" applyAlignment="1" applyProtection="1">
      <alignment vertical="center"/>
      <protection locked="0"/>
    </xf>
    <xf numFmtId="4" fontId="6" fillId="0" borderId="35" xfId="0" applyNumberFormat="1" applyFont="1" applyBorder="1" applyAlignment="1">
      <alignment vertical="center"/>
    </xf>
    <xf numFmtId="4" fontId="6" fillId="0" borderId="62" xfId="0" applyNumberFormat="1" applyFont="1" applyBorder="1" applyAlignment="1">
      <alignment vertical="center"/>
    </xf>
    <xf numFmtId="4" fontId="6" fillId="0" borderId="30" xfId="0" applyNumberFormat="1" applyFont="1" applyBorder="1" applyAlignment="1">
      <alignment vertical="center"/>
    </xf>
    <xf numFmtId="4" fontId="6" fillId="0" borderId="60" xfId="0" applyNumberFormat="1" applyFont="1" applyBorder="1" applyAlignment="1" applyProtection="1">
      <alignment vertical="center"/>
      <protection locked="0"/>
    </xf>
    <xf numFmtId="4" fontId="6" fillId="0" borderId="2" xfId="0" applyNumberFormat="1" applyFont="1" applyBorder="1" applyAlignment="1" applyProtection="1">
      <alignment vertical="center"/>
      <protection locked="0"/>
    </xf>
    <xf numFmtId="4" fontId="6" fillId="0" borderId="103" xfId="0" applyNumberFormat="1" applyFont="1" applyBorder="1" applyAlignment="1">
      <alignment vertical="center"/>
    </xf>
    <xf numFmtId="165" fontId="40" fillId="0" borderId="6" xfId="0" applyNumberFormat="1" applyFont="1" applyBorder="1" applyAlignment="1">
      <alignment horizontal="right" vertical="center"/>
    </xf>
    <xf numFmtId="165" fontId="40" fillId="0" borderId="8" xfId="0" applyNumberFormat="1" applyFont="1" applyBorder="1" applyAlignment="1">
      <alignment horizontal="right" vertical="center"/>
    </xf>
    <xf numFmtId="165" fontId="40" fillId="0" borderId="4" xfId="0" applyNumberFormat="1" applyFont="1" applyBorder="1" applyAlignment="1">
      <alignment horizontal="right" vertical="center"/>
    </xf>
    <xf numFmtId="165" fontId="40" fillId="0" borderId="8" xfId="0" applyNumberFormat="1" applyFont="1" applyBorder="1" applyAlignment="1" applyProtection="1">
      <alignment horizontal="right" vertical="center"/>
      <protection locked="0"/>
    </xf>
    <xf numFmtId="165" fontId="40" fillId="0" borderId="9" xfId="0" applyNumberFormat="1" applyFont="1" applyBorder="1" applyAlignment="1" applyProtection="1">
      <alignment horizontal="right" vertical="center"/>
      <protection locked="0"/>
    </xf>
    <xf numFmtId="0" fontId="40" fillId="0" borderId="6" xfId="0" applyFont="1" applyBorder="1" applyAlignment="1" applyProtection="1">
      <alignment horizontal="center" vertical="center"/>
      <protection locked="0"/>
    </xf>
    <xf numFmtId="0" fontId="33" fillId="0" borderId="0" xfId="0" applyFont="1" applyAlignment="1">
      <alignment horizontal="center" vertical="center"/>
    </xf>
    <xf numFmtId="168" fontId="33" fillId="0" borderId="0" xfId="0" applyNumberFormat="1" applyFont="1" applyAlignment="1">
      <alignment vertical="center"/>
    </xf>
    <xf numFmtId="49" fontId="33" fillId="0" borderId="0" xfId="0" applyNumberFormat="1" applyFont="1" applyAlignment="1">
      <alignment vertical="center"/>
    </xf>
    <xf numFmtId="0" fontId="28" fillId="0" borderId="2" xfId="0" applyFont="1" applyBorder="1" applyAlignment="1">
      <alignment vertical="center"/>
    </xf>
    <xf numFmtId="0" fontId="4" fillId="0" borderId="13" xfId="0" applyFont="1" applyBorder="1" applyAlignment="1">
      <alignment vertical="center"/>
    </xf>
    <xf numFmtId="0" fontId="40" fillId="0" borderId="20" xfId="0" applyFont="1" applyBorder="1" applyAlignment="1">
      <alignment vertical="center"/>
    </xf>
    <xf numFmtId="0" fontId="33" fillId="0" borderId="21" xfId="0" applyFont="1" applyBorder="1" applyAlignment="1">
      <alignment horizontal="center" vertical="center"/>
    </xf>
    <xf numFmtId="168" fontId="33" fillId="0" borderId="21" xfId="0" applyNumberFormat="1" applyFont="1" applyBorder="1" applyAlignment="1">
      <alignment vertical="center"/>
    </xf>
    <xf numFmtId="0" fontId="26" fillId="4" borderId="20" xfId="0" applyFont="1" applyFill="1" applyBorder="1" applyAlignment="1">
      <alignment vertical="center"/>
    </xf>
    <xf numFmtId="0" fontId="37" fillId="4" borderId="0" xfId="0" applyFont="1" applyFill="1" applyAlignment="1">
      <alignment horizontal="center" vertical="center"/>
    </xf>
    <xf numFmtId="0" fontId="37" fillId="4" borderId="21" xfId="0" applyFont="1" applyFill="1" applyBorder="1" applyAlignment="1">
      <alignment horizontal="center" vertical="center"/>
    </xf>
    <xf numFmtId="0" fontId="8" fillId="0" borderId="0" xfId="0" applyFont="1" applyAlignment="1">
      <alignmen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11" xfId="0" applyFont="1" applyBorder="1" applyAlignment="1">
      <alignment horizontal="center" vertical="center"/>
    </xf>
    <xf numFmtId="0" fontId="51" fillId="0" borderId="0" xfId="2" applyFont="1" applyFill="1" applyAlignment="1" applyProtection="1">
      <alignment horizontal="left" vertical="center"/>
    </xf>
    <xf numFmtId="0" fontId="40" fillId="0" borderId="12" xfId="0" applyFont="1" applyBorder="1" applyAlignment="1">
      <alignment horizontal="center" vertical="center"/>
    </xf>
    <xf numFmtId="0" fontId="40" fillId="0" borderId="10" xfId="0" applyFont="1" applyBorder="1" applyAlignment="1">
      <alignment horizontal="center" vertical="center"/>
    </xf>
    <xf numFmtId="4" fontId="54" fillId="0" borderId="0" xfId="0" applyNumberFormat="1" applyFont="1" applyAlignment="1">
      <alignment vertical="center"/>
    </xf>
    <xf numFmtId="0" fontId="55" fillId="0" borderId="0" xfId="0" applyFont="1" applyAlignment="1" applyProtection="1">
      <alignment vertical="center"/>
      <protection hidden="1"/>
    </xf>
    <xf numFmtId="0" fontId="12" fillId="0" borderId="0" xfId="0" applyFont="1" applyAlignment="1" applyProtection="1">
      <alignment vertical="center"/>
      <protection hidden="1"/>
    </xf>
    <xf numFmtId="0" fontId="55" fillId="0" borderId="0" xfId="0" applyFont="1" applyAlignment="1">
      <alignment vertical="center"/>
    </xf>
    <xf numFmtId="0" fontId="40" fillId="0" borderId="1" xfId="0" applyFont="1" applyBorder="1" applyAlignment="1">
      <alignment horizontal="left" vertical="center"/>
    </xf>
    <xf numFmtId="165" fontId="40" fillId="0" borderId="9" xfId="0" applyNumberFormat="1" applyFont="1" applyBorder="1" applyAlignment="1">
      <alignment vertical="center"/>
    </xf>
    <xf numFmtId="0" fontId="41" fillId="0" borderId="0" xfId="0" applyFont="1" applyAlignment="1">
      <alignment horizontal="center" vertical="center"/>
    </xf>
    <xf numFmtId="0" fontId="41" fillId="0" borderId="0" xfId="0" applyFont="1" applyAlignment="1">
      <alignment vertical="center"/>
    </xf>
    <xf numFmtId="0" fontId="2" fillId="0" borderId="1" xfId="2" applyBorder="1" applyAlignment="1" applyProtection="1">
      <alignment vertical="center"/>
    </xf>
    <xf numFmtId="0" fontId="27" fillId="0" borderId="0" xfId="0" applyFont="1" applyAlignment="1" applyProtection="1">
      <alignment horizontal="center" vertical="center"/>
      <protection locked="0"/>
    </xf>
    <xf numFmtId="0" fontId="29" fillId="0" borderId="0" xfId="0" applyFont="1" applyAlignment="1">
      <alignment vertical="center" wrapText="1"/>
    </xf>
    <xf numFmtId="0" fontId="31" fillId="0" borderId="0" xfId="0" applyFont="1" applyAlignment="1">
      <alignment horizontal="left" vertical="center"/>
    </xf>
    <xf numFmtId="0" fontId="27" fillId="0" borderId="0" xfId="0" applyFont="1" applyAlignment="1">
      <alignment horizontal="center" vertical="center"/>
    </xf>
    <xf numFmtId="4" fontId="4" fillId="0" borderId="0" xfId="0" applyNumberFormat="1" applyFont="1" applyAlignment="1">
      <alignment vertical="center" wrapText="1"/>
    </xf>
    <xf numFmtId="4" fontId="27" fillId="0" borderId="0" xfId="0" applyNumberFormat="1" applyFont="1" applyAlignment="1">
      <alignment vertical="center" wrapText="1"/>
    </xf>
    <xf numFmtId="3" fontId="4" fillId="0" borderId="109" xfId="0" applyNumberFormat="1" applyFont="1" applyBorder="1" applyAlignment="1">
      <alignment vertical="center" wrapText="1"/>
    </xf>
    <xf numFmtId="3" fontId="27" fillId="0" borderId="104" xfId="0" applyNumberFormat="1" applyFont="1" applyBorder="1" applyAlignment="1">
      <alignment vertical="center" wrapText="1"/>
    </xf>
    <xf numFmtId="173" fontId="29" fillId="0" borderId="0" xfId="0" applyNumberFormat="1" applyFont="1" applyAlignment="1">
      <alignment horizontal="center" vertical="center" wrapText="1"/>
    </xf>
    <xf numFmtId="172" fontId="4" fillId="0" borderId="0" xfId="0" applyNumberFormat="1" applyFont="1" applyAlignment="1">
      <alignment vertical="center" wrapText="1"/>
    </xf>
    <xf numFmtId="0" fontId="46" fillId="0" borderId="0" xfId="0" applyFont="1" applyProtection="1">
      <protection hidden="1"/>
    </xf>
    <xf numFmtId="0" fontId="49" fillId="0" borderId="0" xfId="0" applyFont="1" applyProtection="1">
      <protection hidden="1"/>
    </xf>
    <xf numFmtId="0" fontId="56" fillId="0" borderId="0" xfId="0" applyFont="1"/>
    <xf numFmtId="1" fontId="49" fillId="0" borderId="0" xfId="0" applyNumberFormat="1" applyFont="1" applyProtection="1">
      <protection hidden="1"/>
    </xf>
    <xf numFmtId="14" fontId="49" fillId="0" borderId="0" xfId="0" applyNumberFormat="1" applyFont="1"/>
    <xf numFmtId="2" fontId="49" fillId="0" borderId="0" xfId="0" applyNumberFormat="1" applyFont="1" applyAlignment="1" applyProtection="1">
      <alignment vertical="center"/>
      <protection hidden="1"/>
    </xf>
    <xf numFmtId="2" fontId="49" fillId="0" borderId="0" xfId="0" applyNumberFormat="1" applyFont="1" applyAlignment="1">
      <alignment vertical="center"/>
    </xf>
    <xf numFmtId="1" fontId="49" fillId="0" borderId="0" xfId="0" applyNumberFormat="1" applyFont="1" applyAlignment="1" applyProtection="1">
      <alignment vertical="center"/>
      <protection hidden="1"/>
    </xf>
    <xf numFmtId="1" fontId="49" fillId="0" borderId="0" xfId="0" applyNumberFormat="1" applyFont="1" applyAlignment="1">
      <alignment vertical="center"/>
    </xf>
    <xf numFmtId="0" fontId="49" fillId="0" borderId="0" xfId="0" applyFont="1" applyAlignment="1" applyProtection="1">
      <alignment vertical="center"/>
      <protection hidden="1"/>
    </xf>
    <xf numFmtId="0" fontId="57" fillId="0" borderId="0" xfId="0" applyFont="1" applyProtection="1">
      <protection hidden="1"/>
    </xf>
    <xf numFmtId="0" fontId="57" fillId="0" borderId="0" xfId="0" applyFont="1"/>
    <xf numFmtId="0" fontId="4" fillId="0" borderId="57"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3" fontId="4" fillId="0" borderId="108" xfId="0" applyNumberFormat="1" applyFont="1" applyBorder="1" applyAlignment="1" applyProtection="1">
      <alignment horizontal="center" vertical="center" wrapText="1"/>
      <protection locked="0"/>
    </xf>
    <xf numFmtId="4" fontId="4" fillId="0" borderId="109" xfId="0" applyNumberFormat="1" applyFont="1" applyBorder="1" applyAlignment="1">
      <alignment vertical="center" wrapText="1"/>
    </xf>
    <xf numFmtId="4" fontId="4" fillId="0" borderId="104" xfId="0" applyNumberFormat="1" applyFont="1" applyBorder="1" applyAlignment="1">
      <alignment vertical="center" wrapText="1"/>
    </xf>
    <xf numFmtId="4" fontId="29" fillId="0" borderId="97" xfId="0" applyNumberFormat="1" applyFont="1" applyBorder="1" applyAlignment="1">
      <alignment vertical="center"/>
    </xf>
    <xf numFmtId="4" fontId="29" fillId="0" borderId="99" xfId="0" applyNumberFormat="1" applyFont="1" applyBorder="1" applyAlignment="1">
      <alignment vertical="center"/>
    </xf>
    <xf numFmtId="4" fontId="58" fillId="0" borderId="6" xfId="0" applyNumberFormat="1" applyFont="1" applyBorder="1" applyAlignment="1">
      <alignment horizontal="right" vertical="center"/>
    </xf>
    <xf numFmtId="4" fontId="58" fillId="0" borderId="6" xfId="0" applyNumberFormat="1" applyFont="1" applyBorder="1" applyAlignment="1">
      <alignment vertical="center"/>
    </xf>
    <xf numFmtId="4" fontId="58" fillId="0" borderId="25" xfId="3" applyNumberFormat="1" applyFont="1" applyBorder="1" applyAlignment="1" applyProtection="1">
      <alignment vertical="center"/>
    </xf>
    <xf numFmtId="3" fontId="3" fillId="0" borderId="13" xfId="0" applyNumberFormat="1" applyFont="1" applyBorder="1" applyAlignment="1">
      <alignment horizontal="right" vertical="center"/>
    </xf>
    <xf numFmtId="3" fontId="3" fillId="0" borderId="13" xfId="0" applyNumberFormat="1" applyFont="1" applyBorder="1" applyAlignment="1">
      <alignment vertical="center"/>
    </xf>
    <xf numFmtId="3" fontId="23" fillId="0" borderId="13" xfId="0" applyNumberFormat="1" applyFont="1" applyBorder="1" applyAlignment="1">
      <alignment vertical="center"/>
    </xf>
    <xf numFmtId="49" fontId="3" fillId="3" borderId="0" xfId="0" applyNumberFormat="1" applyFont="1" applyFill="1" applyAlignment="1">
      <alignment vertical="center"/>
    </xf>
    <xf numFmtId="49" fontId="13" fillId="3" borderId="0" xfId="0" applyNumberFormat="1" applyFont="1" applyFill="1" applyAlignment="1">
      <alignment vertical="center"/>
    </xf>
    <xf numFmtId="49" fontId="9" fillId="3" borderId="0" xfId="0" applyNumberFormat="1" applyFont="1" applyFill="1" applyAlignment="1">
      <alignment vertical="center"/>
    </xf>
    <xf numFmtId="49" fontId="9" fillId="3" borderId="0" xfId="0" applyNumberFormat="1" applyFont="1" applyFill="1" applyAlignment="1" applyProtection="1">
      <alignment vertical="center"/>
      <protection hidden="1"/>
    </xf>
    <xf numFmtId="0" fontId="19" fillId="4" borderId="0" xfId="0" applyFont="1" applyFill="1" applyAlignment="1">
      <alignment horizontal="center" vertical="center"/>
    </xf>
    <xf numFmtId="49" fontId="29" fillId="3" borderId="0" xfId="0" applyNumberFormat="1" applyFont="1" applyFill="1" applyAlignment="1">
      <alignment vertical="center" wrapText="1"/>
    </xf>
    <xf numFmtId="0" fontId="6" fillId="0" borderId="0" xfId="0" applyFont="1" applyAlignment="1">
      <alignment horizontal="left" vertical="center" wrapText="1" indent="5"/>
    </xf>
    <xf numFmtId="0" fontId="6" fillId="0" borderId="0" xfId="0" applyFont="1" applyAlignment="1">
      <alignment horizontal="left" vertical="center" indent="5"/>
    </xf>
    <xf numFmtId="0" fontId="6" fillId="0" borderId="0" xfId="0" applyFont="1" applyAlignment="1">
      <alignment horizontal="left" vertical="center"/>
    </xf>
    <xf numFmtId="0" fontId="6" fillId="4" borderId="87" xfId="0" applyFont="1" applyFill="1" applyBorder="1" applyAlignment="1">
      <alignment vertical="center"/>
    </xf>
    <xf numFmtId="0" fontId="6" fillId="4" borderId="0" xfId="0" applyFont="1" applyFill="1" applyAlignment="1">
      <alignment vertical="center"/>
    </xf>
    <xf numFmtId="0" fontId="6" fillId="4" borderId="88" xfId="0" applyFont="1" applyFill="1" applyBorder="1" applyAlignment="1">
      <alignment vertical="center"/>
    </xf>
    <xf numFmtId="0" fontId="6" fillId="5" borderId="87" xfId="0" applyFont="1" applyFill="1" applyBorder="1" applyAlignment="1">
      <alignment vertical="center"/>
    </xf>
    <xf numFmtId="0" fontId="6" fillId="5" borderId="0" xfId="0" applyFont="1" applyFill="1" applyAlignment="1">
      <alignment vertical="center"/>
    </xf>
    <xf numFmtId="0" fontId="6" fillId="5" borderId="88" xfId="0" applyFont="1" applyFill="1" applyBorder="1" applyAlignment="1">
      <alignment vertical="center"/>
    </xf>
    <xf numFmtId="0" fontId="6" fillId="0" borderId="0" xfId="0" applyFont="1" applyAlignment="1" applyProtection="1">
      <alignment horizontal="left" vertical="center"/>
      <protection hidden="1"/>
    </xf>
    <xf numFmtId="0" fontId="15"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pplyProtection="1">
      <alignment horizontal="left" vertical="center"/>
      <protection hidden="1"/>
    </xf>
    <xf numFmtId="49" fontId="15" fillId="3" borderId="0" xfId="0" applyNumberFormat="1" applyFont="1" applyFill="1" applyAlignment="1">
      <alignment vertical="center"/>
    </xf>
    <xf numFmtId="49" fontId="64" fillId="3" borderId="0" xfId="0" applyNumberFormat="1" applyFont="1" applyFill="1" applyAlignment="1">
      <alignment vertical="center"/>
    </xf>
    <xf numFmtId="49" fontId="64" fillId="3" borderId="0" xfId="0" applyNumberFormat="1" applyFont="1" applyFill="1" applyAlignment="1" applyProtection="1">
      <alignment vertical="center"/>
      <protection hidden="1"/>
    </xf>
    <xf numFmtId="173" fontId="19" fillId="4" borderId="0" xfId="0" applyNumberFormat="1" applyFont="1" applyFill="1" applyAlignment="1">
      <alignment horizontal="right" vertical="center"/>
    </xf>
    <xf numFmtId="173" fontId="29" fillId="0" borderId="0" xfId="0" applyNumberFormat="1" applyFont="1" applyAlignment="1">
      <alignment horizontal="right" vertical="center"/>
    </xf>
    <xf numFmtId="173" fontId="19" fillId="4" borderId="0" xfId="0" applyNumberFormat="1" applyFont="1" applyFill="1" applyAlignment="1">
      <alignment vertical="center"/>
    </xf>
    <xf numFmtId="173" fontId="29" fillId="0" borderId="0" xfId="0" applyNumberFormat="1" applyFont="1" applyAlignment="1">
      <alignment vertical="center"/>
    </xf>
    <xf numFmtId="9" fontId="19" fillId="4" borderId="0" xfId="0" applyNumberFormat="1" applyFont="1" applyFill="1" applyAlignment="1">
      <alignment horizontal="center" vertical="center"/>
    </xf>
    <xf numFmtId="9" fontId="29" fillId="0" borderId="0" xfId="0" applyNumberFormat="1" applyFont="1" applyAlignment="1">
      <alignment horizontal="center" vertical="center"/>
    </xf>
    <xf numFmtId="0" fontId="15" fillId="0" borderId="0" xfId="0" applyFont="1"/>
    <xf numFmtId="0" fontId="36" fillId="4" borderId="92" xfId="0" applyFont="1" applyFill="1" applyBorder="1" applyAlignment="1" applyProtection="1">
      <alignment horizontal="center" vertical="center"/>
      <protection locked="0"/>
    </xf>
    <xf numFmtId="0" fontId="45" fillId="0" borderId="0" xfId="0" applyFont="1" applyAlignment="1" applyProtection="1">
      <alignment vertical="center"/>
      <protection hidden="1"/>
    </xf>
    <xf numFmtId="0" fontId="66" fillId="0" borderId="0" xfId="0" applyFont="1"/>
    <xf numFmtId="3" fontId="6" fillId="0" borderId="0" xfId="0" applyNumberFormat="1" applyFont="1" applyAlignment="1">
      <alignment vertical="center"/>
    </xf>
    <xf numFmtId="0" fontId="40" fillId="0" borderId="0" xfId="0" applyFont="1" applyAlignment="1">
      <alignment horizontal="right" vertical="center"/>
    </xf>
    <xf numFmtId="0" fontId="3" fillId="0" borderId="0" xfId="0" applyFont="1" applyAlignment="1">
      <alignment horizontal="center"/>
    </xf>
    <xf numFmtId="49" fontId="29" fillId="0" borderId="0" xfId="0" applyNumberFormat="1" applyFont="1" applyAlignment="1">
      <alignment horizontal="center"/>
    </xf>
    <xf numFmtId="0" fontId="13" fillId="0" borderId="0" xfId="0" applyFont="1" applyAlignment="1">
      <alignment horizontal="center"/>
    </xf>
    <xf numFmtId="0" fontId="9" fillId="0" borderId="0" xfId="0" applyFont="1" applyAlignment="1">
      <alignment horizontal="center"/>
    </xf>
    <xf numFmtId="0" fontId="9" fillId="0" borderId="0" xfId="0" applyFont="1" applyAlignment="1" applyProtection="1">
      <alignment horizontal="center"/>
      <protection hidden="1"/>
    </xf>
    <xf numFmtId="0" fontId="56" fillId="0" borderId="0" xfId="0" applyFont="1" applyProtection="1">
      <protection hidden="1"/>
    </xf>
    <xf numFmtId="0" fontId="46" fillId="0" borderId="0" xfId="0" applyFont="1" applyAlignment="1" applyProtection="1">
      <alignment vertical="center"/>
      <protection hidden="1"/>
    </xf>
    <xf numFmtId="0" fontId="68" fillId="0" borderId="0" xfId="0" applyFont="1" applyAlignment="1" applyProtection="1">
      <alignment vertical="center"/>
      <protection hidden="1"/>
    </xf>
    <xf numFmtId="0" fontId="46" fillId="0" borderId="0" xfId="0" applyFont="1" applyAlignment="1">
      <alignment vertical="center"/>
    </xf>
    <xf numFmtId="0" fontId="66" fillId="0" borderId="0" xfId="0" applyFont="1" applyAlignment="1" applyProtection="1">
      <alignment vertical="center"/>
      <protection hidden="1"/>
    </xf>
    <xf numFmtId="0" fontId="66" fillId="0" borderId="0" xfId="0" applyFont="1" applyAlignment="1">
      <alignment vertical="center"/>
    </xf>
    <xf numFmtId="4" fontId="70" fillId="4" borderId="0" xfId="0" applyNumberFormat="1" applyFont="1" applyFill="1" applyAlignment="1">
      <alignment horizontal="right" vertical="center"/>
    </xf>
    <xf numFmtId="0" fontId="13" fillId="0" borderId="0" xfId="0" applyFont="1" applyProtection="1">
      <protection hidden="1"/>
    </xf>
    <xf numFmtId="1" fontId="26" fillId="0" borderId="6" xfId="0" applyNumberFormat="1" applyFont="1" applyBorder="1" applyAlignment="1">
      <alignment horizontal="center" vertical="center"/>
    </xf>
    <xf numFmtId="0" fontId="71" fillId="0" borderId="0" xfId="0" applyFont="1" applyAlignment="1">
      <alignment vertical="center"/>
    </xf>
    <xf numFmtId="0" fontId="72" fillId="0" borderId="0" xfId="0" applyFont="1" applyAlignment="1">
      <alignment vertical="center"/>
    </xf>
    <xf numFmtId="2" fontId="4" fillId="0" borderId="108" xfId="0" applyNumberFormat="1" applyFont="1" applyBorder="1" applyAlignment="1" applyProtection="1">
      <alignment vertical="center" wrapText="1"/>
      <protection locked="0"/>
    </xf>
    <xf numFmtId="173" fontId="13" fillId="0" borderId="0" xfId="0" applyNumberFormat="1" applyFont="1"/>
    <xf numFmtId="0" fontId="57" fillId="0" borderId="0" xfId="0" applyFont="1" applyAlignment="1" applyProtection="1">
      <alignment horizontal="center" vertical="center"/>
      <protection hidden="1"/>
    </xf>
    <xf numFmtId="3" fontId="57" fillId="0" borderId="0" xfId="0" applyNumberFormat="1" applyFont="1" applyAlignment="1" applyProtection="1">
      <alignment horizontal="center" vertical="center"/>
      <protection hidden="1"/>
    </xf>
    <xf numFmtId="3" fontId="57" fillId="0" borderId="0" xfId="0" applyNumberFormat="1" applyFont="1" applyAlignment="1">
      <alignment horizontal="center" vertical="center"/>
    </xf>
    <xf numFmtId="0" fontId="67" fillId="0" borderId="0" xfId="0" applyFont="1" applyAlignment="1" applyProtection="1">
      <alignment vertical="center" wrapText="1"/>
      <protection hidden="1"/>
    </xf>
    <xf numFmtId="0" fontId="71" fillId="0" borderId="0" xfId="0" applyFont="1"/>
    <xf numFmtId="0" fontId="73" fillId="0" borderId="0" xfId="0" applyFont="1"/>
    <xf numFmtId="0" fontId="72" fillId="0" borderId="0" xfId="0" applyFont="1"/>
    <xf numFmtId="4" fontId="72" fillId="0" borderId="0" xfId="0" applyNumberFormat="1" applyFont="1" applyAlignment="1">
      <alignment vertical="center"/>
    </xf>
    <xf numFmtId="2" fontId="72" fillId="0" borderId="0" xfId="0" applyNumberFormat="1" applyFont="1" applyAlignment="1">
      <alignment vertical="center"/>
    </xf>
    <xf numFmtId="0" fontId="74" fillId="0" borderId="0" xfId="0" applyFont="1" applyAlignment="1">
      <alignment vertical="center"/>
    </xf>
    <xf numFmtId="0" fontId="67" fillId="0" borderId="0" xfId="0" applyFont="1" applyAlignment="1">
      <alignment vertical="center"/>
    </xf>
    <xf numFmtId="0" fontId="75" fillId="0" borderId="0" xfId="0" applyFont="1" applyAlignment="1">
      <alignment vertical="center" wrapText="1"/>
    </xf>
    <xf numFmtId="0" fontId="69" fillId="0" borderId="0" xfId="0" applyFont="1" applyAlignment="1">
      <alignment horizontal="center" vertical="center" wrapText="1"/>
    </xf>
    <xf numFmtId="14" fontId="69" fillId="0" borderId="0" xfId="0" applyNumberFormat="1" applyFont="1" applyAlignment="1">
      <alignment vertical="center" wrapText="1"/>
    </xf>
    <xf numFmtId="1" fontId="69" fillId="0" borderId="0" xfId="0" applyNumberFormat="1" applyFont="1" applyAlignment="1">
      <alignment horizontal="center" vertical="center" wrapText="1"/>
    </xf>
    <xf numFmtId="4" fontId="69" fillId="0" borderId="0" xfId="0" applyNumberFormat="1" applyFont="1"/>
    <xf numFmtId="0" fontId="69" fillId="0" borderId="0" xfId="0" applyFont="1" applyAlignment="1">
      <alignment vertical="center"/>
    </xf>
    <xf numFmtId="0" fontId="69" fillId="0" borderId="0" xfId="0" applyFont="1"/>
    <xf numFmtId="1" fontId="69" fillId="0" borderId="0" xfId="0" applyNumberFormat="1" applyFont="1"/>
    <xf numFmtId="4" fontId="13" fillId="0" borderId="0" xfId="0" applyNumberFormat="1" applyFont="1"/>
    <xf numFmtId="0" fontId="13" fillId="0" borderId="0" xfId="4" applyFont="1"/>
    <xf numFmtId="0" fontId="6" fillId="0" borderId="0" xfId="0" applyFont="1" applyAlignment="1">
      <alignment horizontal="center"/>
    </xf>
    <xf numFmtId="165" fontId="6" fillId="0" borderId="0" xfId="0" applyNumberFormat="1" applyFont="1" applyAlignment="1">
      <alignment horizontal="right" vertical="center"/>
    </xf>
    <xf numFmtId="165" fontId="6" fillId="0" borderId="0" xfId="0" applyNumberFormat="1" applyFont="1" applyAlignment="1">
      <alignment vertical="center"/>
    </xf>
    <xf numFmtId="0" fontId="6" fillId="0" borderId="0" xfId="0" applyFont="1" applyAlignment="1" applyProtection="1">
      <alignment vertical="center"/>
      <protection hidden="1"/>
    </xf>
    <xf numFmtId="0" fontId="66" fillId="0" borderId="0" xfId="0" applyFont="1" applyAlignment="1">
      <alignment horizontal="left" vertical="center"/>
    </xf>
    <xf numFmtId="1" fontId="6" fillId="0" borderId="0" xfId="0" applyNumberFormat="1" applyFont="1" applyAlignment="1">
      <alignment vertical="center"/>
    </xf>
    <xf numFmtId="1" fontId="6" fillId="0" borderId="115" xfId="0" applyNumberFormat="1" applyFont="1" applyBorder="1" applyAlignment="1">
      <alignment horizontal="center" vertical="center" wrapText="1"/>
    </xf>
    <xf numFmtId="1" fontId="6" fillId="0" borderId="116" xfId="0" applyNumberFormat="1" applyFont="1" applyBorder="1" applyAlignment="1">
      <alignment horizontal="center" vertical="center" wrapText="1"/>
    </xf>
    <xf numFmtId="3" fontId="29" fillId="0" borderId="55" xfId="0" applyNumberFormat="1" applyFont="1" applyBorder="1" applyAlignment="1">
      <alignment vertical="center"/>
    </xf>
    <xf numFmtId="3" fontId="29" fillId="0" borderId="116" xfId="0" applyNumberFormat="1" applyFont="1" applyBorder="1" applyAlignment="1">
      <alignment vertical="center" wrapText="1"/>
    </xf>
    <xf numFmtId="3" fontId="29" fillId="0" borderId="117" xfId="0" applyNumberFormat="1" applyFont="1" applyBorder="1" applyAlignment="1">
      <alignment vertical="center" wrapText="1"/>
    </xf>
    <xf numFmtId="3" fontId="29" fillId="0" borderId="0" xfId="0" applyNumberFormat="1" applyFont="1" applyAlignment="1">
      <alignment horizontal="left" vertical="center"/>
    </xf>
    <xf numFmtId="1" fontId="6" fillId="0" borderId="0" xfId="0" applyNumberFormat="1" applyFont="1" applyAlignment="1">
      <alignment horizontal="left" vertical="center"/>
    </xf>
    <xf numFmtId="1" fontId="6" fillId="0" borderId="108" xfId="0" applyNumberFormat="1" applyFont="1" applyBorder="1" applyAlignment="1">
      <alignment horizontal="center" vertical="center"/>
    </xf>
    <xf numFmtId="0" fontId="20" fillId="0" borderId="0" xfId="0" applyFont="1" applyAlignment="1">
      <alignment vertical="center"/>
    </xf>
    <xf numFmtId="173" fontId="29" fillId="0" borderId="0" xfId="0" applyNumberFormat="1" applyFont="1" applyAlignment="1" applyProtection="1">
      <alignment vertical="center"/>
      <protection locked="0"/>
    </xf>
    <xf numFmtId="0" fontId="6" fillId="0" borderId="0" xfId="0" applyFont="1" applyAlignment="1">
      <alignment horizontal="right"/>
    </xf>
    <xf numFmtId="0" fontId="6" fillId="0" borderId="0" xfId="0" applyFont="1" applyAlignment="1">
      <alignment horizontal="right" vertical="center"/>
    </xf>
    <xf numFmtId="14" fontId="40" fillId="0" borderId="0" xfId="0" applyNumberFormat="1" applyFont="1" applyAlignment="1" applyProtection="1">
      <alignment vertical="center" wrapText="1"/>
      <protection hidden="1"/>
    </xf>
    <xf numFmtId="0" fontId="40" fillId="0" borderId="0" xfId="0" applyFont="1" applyAlignment="1">
      <alignment horizontal="center" vertical="center" wrapText="1"/>
    </xf>
    <xf numFmtId="1" fontId="40" fillId="0" borderId="0" xfId="0" applyNumberFormat="1" applyFont="1" applyAlignment="1">
      <alignment horizontal="center" vertical="center" wrapText="1"/>
    </xf>
    <xf numFmtId="0" fontId="40" fillId="0" borderId="0" xfId="0" applyFont="1" applyAlignment="1">
      <alignment horizontal="right" vertical="center" wrapText="1"/>
    </xf>
    <xf numFmtId="0" fontId="80" fillId="0" borderId="0" xfId="0" applyFont="1" applyAlignment="1">
      <alignment horizontal="center" vertical="center" wrapText="1"/>
    </xf>
    <xf numFmtId="0" fontId="79" fillId="0" borderId="0" xfId="0" applyFont="1" applyAlignment="1">
      <alignment vertical="center"/>
    </xf>
    <xf numFmtId="1" fontId="6" fillId="0" borderId="0" xfId="0" applyNumberFormat="1" applyFont="1" applyAlignment="1">
      <alignment horizontal="right" vertical="center"/>
    </xf>
    <xf numFmtId="0" fontId="49" fillId="0" borderId="0" xfId="0" applyFont="1" applyAlignment="1" applyProtection="1">
      <alignment horizontal="left" vertical="center"/>
      <protection hidden="1"/>
    </xf>
    <xf numFmtId="0" fontId="49" fillId="0" borderId="0" xfId="0" applyFont="1" applyAlignment="1">
      <alignment horizontal="left" vertical="center"/>
    </xf>
    <xf numFmtId="0" fontId="26" fillId="0" borderId="0" xfId="0" applyFont="1" applyAlignment="1">
      <alignment horizontal="left" vertical="center"/>
    </xf>
    <xf numFmtId="173" fontId="46" fillId="0" borderId="0" xfId="0" applyNumberFormat="1" applyFont="1" applyAlignment="1">
      <alignment horizontal="center" vertical="center" wrapText="1"/>
    </xf>
    <xf numFmtId="4" fontId="46" fillId="0" borderId="0" xfId="0" applyNumberFormat="1" applyFont="1" applyAlignment="1">
      <alignment horizontal="center" vertical="center" wrapText="1"/>
    </xf>
    <xf numFmtId="0" fontId="72" fillId="0" borderId="46" xfId="0" applyFont="1" applyBorder="1" applyAlignment="1">
      <alignment horizontal="left" vertical="center"/>
    </xf>
    <xf numFmtId="0" fontId="72" fillId="0" borderId="8" xfId="0" applyFont="1" applyBorder="1" applyAlignment="1">
      <alignment horizontal="center" vertical="center"/>
    </xf>
    <xf numFmtId="4" fontId="72" fillId="0" borderId="13" xfId="0" applyNumberFormat="1" applyFont="1" applyBorder="1" applyAlignment="1">
      <alignment horizontal="right" vertical="center"/>
    </xf>
    <xf numFmtId="4" fontId="72" fillId="0" borderId="6" xfId="0" applyNumberFormat="1" applyFont="1" applyBorder="1" applyAlignment="1">
      <alignment horizontal="right" vertical="center"/>
    </xf>
    <xf numFmtId="4" fontId="72" fillId="0" borderId="32" xfId="0" applyNumberFormat="1" applyFont="1" applyBorder="1" applyAlignment="1">
      <alignment horizontal="right" vertical="center"/>
    </xf>
    <xf numFmtId="0" fontId="31" fillId="0" borderId="0" xfId="0" applyFont="1" applyAlignment="1">
      <alignment vertical="center" wrapText="1"/>
    </xf>
    <xf numFmtId="0" fontId="76" fillId="0" borderId="0" xfId="2" applyFont="1" applyBorder="1" applyAlignment="1" applyProtection="1">
      <alignment horizontal="center" vertical="center"/>
    </xf>
    <xf numFmtId="6" fontId="29" fillId="4" borderId="83" xfId="0" applyNumberFormat="1" applyFont="1" applyFill="1" applyBorder="1" applyAlignment="1">
      <alignment horizontal="center" vertical="center"/>
    </xf>
    <xf numFmtId="6" fontId="29" fillId="5" borderId="83" xfId="0" applyNumberFormat="1" applyFont="1" applyFill="1" applyBorder="1" applyAlignment="1">
      <alignment horizontal="center" vertical="center"/>
    </xf>
    <xf numFmtId="9" fontId="6" fillId="0" borderId="0" xfId="0" applyNumberFormat="1" applyFont="1" applyAlignment="1">
      <alignment horizontal="center" vertical="center"/>
    </xf>
    <xf numFmtId="0" fontId="3" fillId="0" borderId="0" xfId="0" applyFont="1" applyAlignment="1">
      <alignment horizontal="center" vertical="center"/>
    </xf>
    <xf numFmtId="165" fontId="29" fillId="5" borderId="84" xfId="0" applyNumberFormat="1" applyFont="1" applyFill="1" applyBorder="1" applyAlignment="1">
      <alignment horizontal="center" vertical="center"/>
    </xf>
    <xf numFmtId="165" fontId="29" fillId="4" borderId="84" xfId="0" applyNumberFormat="1" applyFont="1" applyFill="1" applyBorder="1" applyAlignment="1">
      <alignment horizontal="center" vertical="center"/>
    </xf>
    <xf numFmtId="6" fontId="29" fillId="0" borderId="0" xfId="0" applyNumberFormat="1" applyFont="1" applyAlignment="1">
      <alignment horizontal="center" vertical="center"/>
    </xf>
    <xf numFmtId="165" fontId="29" fillId="0" borderId="0" xfId="0" applyNumberFormat="1" applyFont="1" applyAlignment="1">
      <alignment horizontal="center" vertical="center"/>
    </xf>
    <xf numFmtId="9" fontId="40" fillId="0" borderId="0" xfId="0" applyNumberFormat="1" applyFont="1" applyAlignment="1">
      <alignment horizontal="center" vertical="center"/>
    </xf>
    <xf numFmtId="0" fontId="40" fillId="0" borderId="0" xfId="0" applyFont="1"/>
    <xf numFmtId="0" fontId="12" fillId="0" borderId="0" xfId="0" applyFont="1"/>
    <xf numFmtId="0" fontId="55" fillId="0" borderId="0" xfId="0" applyFont="1"/>
    <xf numFmtId="0" fontId="55" fillId="0" borderId="0" xfId="0" applyFont="1" applyProtection="1">
      <protection hidden="1"/>
    </xf>
    <xf numFmtId="0" fontId="29" fillId="0" borderId="92" xfId="0" applyFont="1" applyBorder="1" applyAlignment="1" applyProtection="1">
      <alignment vertical="center"/>
      <protection locked="0"/>
    </xf>
    <xf numFmtId="0" fontId="82" fillId="0" borderId="0" xfId="0" applyFont="1" applyAlignment="1" applyProtection="1">
      <alignment horizontal="center" vertical="center"/>
      <protection hidden="1"/>
    </xf>
    <xf numFmtId="3" fontId="82" fillId="0" borderId="0" xfId="0" applyNumberFormat="1" applyFont="1" applyAlignment="1" applyProtection="1">
      <alignment horizontal="center" vertical="center"/>
      <protection hidden="1"/>
    </xf>
    <xf numFmtId="3" fontId="82" fillId="0" borderId="0" xfId="0" applyNumberFormat="1" applyFont="1" applyAlignment="1">
      <alignment horizontal="center" vertical="center"/>
    </xf>
    <xf numFmtId="0" fontId="83" fillId="0" borderId="0" xfId="0" applyFont="1" applyAlignment="1">
      <alignment vertical="center"/>
    </xf>
    <xf numFmtId="0" fontId="84" fillId="0" borderId="0" xfId="0" applyFont="1"/>
    <xf numFmtId="0" fontId="85" fillId="0" borderId="0" xfId="0" applyFont="1"/>
    <xf numFmtId="3" fontId="82" fillId="0" borderId="0" xfId="0" applyNumberFormat="1" applyFont="1" applyAlignment="1">
      <alignment horizontal="left" vertical="center"/>
    </xf>
    <xf numFmtId="0" fontId="86" fillId="0" borderId="0" xfId="0" applyFont="1"/>
    <xf numFmtId="0" fontId="86" fillId="0" borderId="0" xfId="0" applyFont="1" applyAlignment="1">
      <alignment vertical="center"/>
    </xf>
    <xf numFmtId="4" fontId="86" fillId="0" borderId="0" xfId="0" applyNumberFormat="1" applyFont="1" applyAlignment="1">
      <alignment vertical="center"/>
    </xf>
    <xf numFmtId="0" fontId="82" fillId="0" borderId="0" xfId="0" applyFont="1" applyAlignment="1">
      <alignment horizontal="center" vertical="center"/>
    </xf>
    <xf numFmtId="4" fontId="82" fillId="0" borderId="0" xfId="0" applyNumberFormat="1" applyFont="1" applyAlignment="1" applyProtection="1">
      <alignment horizontal="center" vertical="center"/>
      <protection hidden="1"/>
    </xf>
    <xf numFmtId="0" fontId="82" fillId="0" borderId="0" xfId="0" applyFont="1" applyAlignment="1">
      <alignment vertical="center"/>
    </xf>
    <xf numFmtId="9" fontId="82" fillId="0" borderId="0" xfId="0" applyNumberFormat="1" applyFont="1" applyAlignment="1" applyProtection="1">
      <alignment horizontal="center" vertical="center"/>
      <protection hidden="1"/>
    </xf>
    <xf numFmtId="9" fontId="82" fillId="0" borderId="0" xfId="0" applyNumberFormat="1" applyFont="1" applyAlignment="1">
      <alignment horizontal="center" vertical="center"/>
    </xf>
    <xf numFmtId="3" fontId="82" fillId="0" borderId="0" xfId="0" applyNumberFormat="1" applyFont="1" applyAlignment="1" applyProtection="1">
      <alignment horizontal="left" vertical="center"/>
      <protection hidden="1"/>
    </xf>
    <xf numFmtId="0" fontId="84" fillId="0" borderId="0" xfId="0" applyFont="1" applyAlignment="1">
      <alignment vertical="center"/>
    </xf>
    <xf numFmtId="0" fontId="23" fillId="0" borderId="0" xfId="0" applyFont="1" applyAlignment="1">
      <alignment vertical="center" wrapText="1"/>
    </xf>
    <xf numFmtId="0" fontId="23" fillId="0" borderId="0" xfId="0" applyFont="1" applyAlignment="1">
      <alignment vertical="top" wrapText="1"/>
    </xf>
    <xf numFmtId="0" fontId="3" fillId="0" borderId="114" xfId="0" applyFont="1" applyBorder="1" applyAlignment="1">
      <alignment horizontal="left" vertical="center" wrapText="1"/>
    </xf>
    <xf numFmtId="4" fontId="87" fillId="0" borderId="124" xfId="0" applyNumberFormat="1" applyFont="1" applyBorder="1" applyAlignment="1">
      <alignment horizontal="right" vertical="center" wrapText="1"/>
    </xf>
    <xf numFmtId="4" fontId="3" fillId="0" borderId="114" xfId="0" applyNumberFormat="1" applyFont="1" applyBorder="1" applyAlignment="1">
      <alignment horizontal="right" vertical="center" wrapText="1"/>
    </xf>
    <xf numFmtId="0" fontId="6" fillId="0" borderId="0" xfId="0" applyFont="1" applyAlignment="1">
      <alignment horizontal="left" vertical="center" wrapText="1"/>
    </xf>
    <xf numFmtId="6" fontId="29" fillId="4" borderId="85" xfId="0" applyNumberFormat="1" applyFont="1" applyFill="1" applyBorder="1" applyAlignment="1">
      <alignment horizontal="center" vertical="center"/>
    </xf>
    <xf numFmtId="6" fontId="29" fillId="4" borderId="89" xfId="0" applyNumberFormat="1" applyFont="1" applyFill="1" applyBorder="1" applyAlignment="1">
      <alignment horizontal="center" vertical="center"/>
    </xf>
    <xf numFmtId="6" fontId="29" fillId="4" borderId="80" xfId="0" applyNumberFormat="1" applyFont="1" applyFill="1" applyBorder="1" applyAlignment="1">
      <alignment horizontal="center" vertical="center"/>
    </xf>
    <xf numFmtId="165" fontId="29" fillId="4" borderId="86" xfId="0" applyNumberFormat="1" applyFont="1" applyFill="1" applyBorder="1" applyAlignment="1">
      <alignment horizontal="center" vertical="center"/>
    </xf>
    <xf numFmtId="165" fontId="29" fillId="4" borderId="90" xfId="0" applyNumberFormat="1" applyFont="1" applyFill="1" applyBorder="1" applyAlignment="1">
      <alignment horizontal="center" vertical="center"/>
    </xf>
    <xf numFmtId="165" fontId="29" fillId="4" borderId="81" xfId="0" applyNumberFormat="1" applyFont="1" applyFill="1" applyBorder="1" applyAlignment="1">
      <alignment horizontal="center" vertical="center"/>
    </xf>
    <xf numFmtId="6" fontId="29" fillId="5" borderId="85" xfId="0" applyNumberFormat="1" applyFont="1" applyFill="1" applyBorder="1" applyAlignment="1">
      <alignment horizontal="center" vertical="center"/>
    </xf>
    <xf numFmtId="6" fontId="29" fillId="5" borderId="89" xfId="0" applyNumberFormat="1" applyFont="1" applyFill="1" applyBorder="1" applyAlignment="1">
      <alignment horizontal="center" vertical="center"/>
    </xf>
    <xf numFmtId="6" fontId="29" fillId="5" borderId="80" xfId="0" applyNumberFormat="1" applyFont="1" applyFill="1" applyBorder="1" applyAlignment="1">
      <alignment horizontal="center" vertical="center"/>
    </xf>
    <xf numFmtId="165" fontId="29" fillId="5" borderId="86" xfId="0" applyNumberFormat="1" applyFont="1" applyFill="1" applyBorder="1" applyAlignment="1">
      <alignment horizontal="center" vertical="center"/>
    </xf>
    <xf numFmtId="165" fontId="29" fillId="5" borderId="90" xfId="0" applyNumberFormat="1" applyFont="1" applyFill="1" applyBorder="1" applyAlignment="1">
      <alignment horizontal="center" vertical="center"/>
    </xf>
    <xf numFmtId="165" fontId="29" fillId="5" borderId="81" xfId="0" applyNumberFormat="1" applyFont="1" applyFill="1" applyBorder="1" applyAlignment="1">
      <alignment horizontal="center" vertical="center"/>
    </xf>
    <xf numFmtId="49" fontId="6" fillId="0" borderId="0" xfId="0" applyNumberFormat="1" applyFont="1" applyAlignment="1">
      <alignment horizontal="center" vertical="center" wrapText="1"/>
    </xf>
    <xf numFmtId="0" fontId="6" fillId="0" borderId="0" xfId="0" applyFont="1" applyAlignment="1">
      <alignment horizontal="left" vertical="center"/>
    </xf>
    <xf numFmtId="9" fontId="6" fillId="0" borderId="0" xfId="0" applyNumberFormat="1" applyFont="1" applyAlignment="1">
      <alignment horizontal="center" vertical="center"/>
    </xf>
    <xf numFmtId="0" fontId="19" fillId="4" borderId="0" xfId="0" applyFont="1" applyFill="1" applyAlignment="1">
      <alignment horizontal="center" vertical="center"/>
    </xf>
    <xf numFmtId="49" fontId="29" fillId="3" borderId="0" xfId="0" applyNumberFormat="1" applyFont="1" applyFill="1" applyAlignment="1">
      <alignment horizontal="left" vertical="center" wrapText="1" indent="3"/>
    </xf>
    <xf numFmtId="49" fontId="29" fillId="3" borderId="0" xfId="0" applyNumberFormat="1" applyFont="1" applyFill="1" applyAlignment="1">
      <alignment horizontal="left" vertical="center" wrapText="1"/>
    </xf>
    <xf numFmtId="0" fontId="6" fillId="0" borderId="0" xfId="0" applyFont="1" applyAlignment="1">
      <alignment horizontal="left" vertical="center" indent="1"/>
    </xf>
    <xf numFmtId="0" fontId="6" fillId="0" borderId="0" xfId="0" applyFont="1" applyAlignment="1">
      <alignment horizontal="left" vertical="center" wrapText="1" indent="1"/>
    </xf>
    <xf numFmtId="0" fontId="81" fillId="0" borderId="0" xfId="0" applyFont="1" applyAlignment="1">
      <alignment horizontal="left" vertical="center" wrapText="1"/>
    </xf>
    <xf numFmtId="0" fontId="61" fillId="0" borderId="0" xfId="0" applyFont="1" applyAlignment="1">
      <alignment horizontal="left" vertical="center" wrapText="1"/>
    </xf>
    <xf numFmtId="49" fontId="29" fillId="3" borderId="0" xfId="0" applyNumberFormat="1" applyFont="1" applyFill="1" applyAlignment="1">
      <alignment horizontal="center" vertical="center" wrapText="1"/>
    </xf>
    <xf numFmtId="0" fontId="77" fillId="0" borderId="0" xfId="2" applyFont="1" applyBorder="1" applyAlignment="1" applyProtection="1">
      <alignment horizontal="center" vertical="center"/>
    </xf>
    <xf numFmtId="0" fontId="78" fillId="0" borderId="0" xfId="0" applyFont="1" applyAlignment="1">
      <alignment horizontal="center" vertical="center"/>
    </xf>
    <xf numFmtId="49" fontId="60" fillId="4" borderId="0" xfId="0" applyNumberFormat="1" applyFont="1" applyFill="1" applyAlignment="1">
      <alignment horizontal="center" vertical="center"/>
    </xf>
    <xf numFmtId="49" fontId="36" fillId="3" borderId="0" xfId="0" applyNumberFormat="1" applyFont="1" applyFill="1" applyAlignment="1">
      <alignment horizontal="center" vertical="center" wrapText="1"/>
    </xf>
    <xf numFmtId="49" fontId="59" fillId="4" borderId="0" xfId="0" applyNumberFormat="1" applyFont="1" applyFill="1" applyAlignment="1">
      <alignment horizontal="center" vertical="center"/>
    </xf>
    <xf numFmtId="0" fontId="6" fillId="4" borderId="82" xfId="0" applyFont="1" applyFill="1" applyBorder="1" applyAlignment="1">
      <alignment horizontal="left" vertical="center"/>
    </xf>
    <xf numFmtId="0" fontId="6" fillId="4" borderId="83" xfId="0" applyFont="1" applyFill="1" applyBorder="1" applyAlignment="1">
      <alignment horizontal="left" vertical="center"/>
    </xf>
    <xf numFmtId="0" fontId="6" fillId="5" borderId="82" xfId="0" applyFont="1" applyFill="1" applyBorder="1" applyAlignment="1">
      <alignment horizontal="left" vertical="center"/>
    </xf>
    <xf numFmtId="0" fontId="6" fillId="5" borderId="83" xfId="0" applyFont="1" applyFill="1" applyBorder="1" applyAlignment="1">
      <alignment horizontal="left" vertical="center"/>
    </xf>
    <xf numFmtId="0" fontId="6" fillId="5" borderId="87" xfId="0" applyFont="1" applyFill="1" applyBorder="1" applyAlignment="1">
      <alignment horizontal="left" vertical="center"/>
    </xf>
    <xf numFmtId="0" fontId="6" fillId="5" borderId="88" xfId="0" applyFont="1" applyFill="1" applyBorder="1" applyAlignment="1">
      <alignment horizontal="left" vertical="center"/>
    </xf>
    <xf numFmtId="0" fontId="65" fillId="4" borderId="79" xfId="0" applyFont="1" applyFill="1" applyBorder="1" applyAlignment="1">
      <alignment horizontal="center" vertical="center"/>
    </xf>
    <xf numFmtId="0" fontId="65" fillId="4" borderId="80" xfId="0" applyFont="1" applyFill="1" applyBorder="1" applyAlignment="1">
      <alignment horizontal="center" vertical="center"/>
    </xf>
    <xf numFmtId="0" fontId="65" fillId="4" borderId="82" xfId="0" applyFont="1" applyFill="1" applyBorder="1" applyAlignment="1">
      <alignment horizontal="center" vertical="center"/>
    </xf>
    <xf numFmtId="0" fontId="65" fillId="4" borderId="83" xfId="0" applyFont="1" applyFill="1" applyBorder="1" applyAlignment="1">
      <alignment horizontal="center" vertical="center"/>
    </xf>
    <xf numFmtId="0" fontId="3" fillId="0" borderId="0" xfId="0" applyFont="1" applyAlignment="1">
      <alignment horizontal="left" vertical="center" wrapText="1" indent="1"/>
    </xf>
    <xf numFmtId="0" fontId="29" fillId="0" borderId="0" xfId="0" applyFont="1" applyAlignment="1">
      <alignment horizontal="left" vertical="center" wrapText="1"/>
    </xf>
    <xf numFmtId="0" fontId="34" fillId="0" borderId="0" xfId="0" applyFont="1" applyAlignment="1">
      <alignment horizontal="left" vertical="center" wrapText="1" indent="1"/>
    </xf>
    <xf numFmtId="0" fontId="65" fillId="4" borderId="90" xfId="0" applyFont="1" applyFill="1" applyBorder="1" applyAlignment="1">
      <alignment horizontal="center" vertical="center" wrapText="1"/>
    </xf>
    <xf numFmtId="0" fontId="65" fillId="4" borderId="81" xfId="0" applyFont="1" applyFill="1" applyBorder="1" applyAlignment="1">
      <alignment horizontal="center" vertical="center" wrapText="1"/>
    </xf>
    <xf numFmtId="0" fontId="4" fillId="0" borderId="0" xfId="0" applyFont="1" applyAlignment="1">
      <alignment horizontal="left" vertical="center" wrapText="1" indent="1"/>
    </xf>
    <xf numFmtId="0" fontId="6" fillId="5" borderId="0" xfId="0" applyFont="1" applyFill="1" applyAlignment="1">
      <alignment horizontal="left" vertical="center"/>
    </xf>
    <xf numFmtId="0" fontId="65" fillId="4" borderId="89" xfId="0" applyFont="1" applyFill="1" applyBorder="1" applyAlignment="1">
      <alignment horizontal="center" vertical="center" wrapText="1"/>
    </xf>
    <xf numFmtId="0" fontId="65" fillId="4" borderId="80" xfId="0" applyFont="1" applyFill="1" applyBorder="1" applyAlignment="1">
      <alignment horizontal="center" vertical="center" wrapText="1"/>
    </xf>
    <xf numFmtId="0" fontId="23" fillId="0" borderId="0" xfId="0" applyFont="1" applyAlignment="1">
      <alignment vertical="center" wrapText="1"/>
    </xf>
    <xf numFmtId="49" fontId="36" fillId="4" borderId="0" xfId="0" applyNumberFormat="1" applyFont="1" applyFill="1" applyAlignment="1" applyProtection="1">
      <alignment horizontal="center" vertical="center"/>
      <protection locked="0"/>
    </xf>
    <xf numFmtId="49" fontId="36" fillId="4" borderId="92" xfId="0" applyNumberFormat="1" applyFont="1" applyFill="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29" fillId="0" borderId="0" xfId="0" applyFont="1" applyAlignment="1">
      <alignment horizontal="left" vertical="center"/>
    </xf>
    <xf numFmtId="0" fontId="29" fillId="0" borderId="92" xfId="0" applyFont="1" applyBorder="1" applyAlignment="1">
      <alignment horizontal="left" vertical="center"/>
    </xf>
    <xf numFmtId="0" fontId="30" fillId="0" borderId="91" xfId="0" applyFont="1" applyBorder="1" applyAlignment="1">
      <alignment horizontal="left" vertical="center"/>
    </xf>
    <xf numFmtId="0" fontId="30" fillId="0" borderId="0" xfId="0" applyFont="1" applyAlignment="1">
      <alignment horizontal="left" vertical="center"/>
    </xf>
    <xf numFmtId="14" fontId="29" fillId="0" borderId="0" xfId="0" applyNumberFormat="1" applyFont="1" applyAlignment="1" applyProtection="1">
      <alignment horizontal="left" vertical="center"/>
      <protection locked="0"/>
    </xf>
    <xf numFmtId="14" fontId="29" fillId="0" borderId="92" xfId="0" applyNumberFormat="1"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92" xfId="0" applyFont="1" applyBorder="1" applyAlignment="1" applyProtection="1">
      <alignment horizontal="left" vertical="center"/>
      <protection locked="0"/>
    </xf>
    <xf numFmtId="174" fontId="29" fillId="0" borderId="0" xfId="0" applyNumberFormat="1" applyFont="1" applyAlignment="1" applyProtection="1">
      <alignment horizontal="center" vertical="center"/>
      <protection locked="0"/>
    </xf>
    <xf numFmtId="174" fontId="29" fillId="0" borderId="92" xfId="0" applyNumberFormat="1" applyFont="1" applyBorder="1" applyAlignment="1" applyProtection="1">
      <alignment horizontal="center" vertical="center"/>
      <protection locked="0"/>
    </xf>
    <xf numFmtId="0" fontId="19" fillId="4" borderId="91" xfId="0" applyFont="1" applyFill="1" applyBorder="1" applyAlignment="1">
      <alignment horizontal="center" vertical="center"/>
    </xf>
    <xf numFmtId="0" fontId="19" fillId="4" borderId="92" xfId="0" applyFont="1" applyFill="1" applyBorder="1" applyAlignment="1">
      <alignment horizontal="center" vertical="center"/>
    </xf>
    <xf numFmtId="0" fontId="23" fillId="0" borderId="91" xfId="0" applyFont="1" applyBorder="1" applyAlignment="1">
      <alignment vertical="top" wrapText="1"/>
    </xf>
    <xf numFmtId="0" fontId="36" fillId="4" borderId="0" xfId="0" applyFont="1" applyFill="1" applyAlignment="1" applyProtection="1">
      <alignment horizontal="center" vertical="center"/>
      <protection locked="0"/>
    </xf>
    <xf numFmtId="0" fontId="36" fillId="4" borderId="92" xfId="0" applyFont="1" applyFill="1" applyBorder="1" applyAlignment="1" applyProtection="1">
      <alignment horizontal="center" vertical="center"/>
      <protection locked="0"/>
    </xf>
    <xf numFmtId="0" fontId="29" fillId="0" borderId="91"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92" xfId="0" applyFont="1" applyBorder="1" applyAlignment="1" applyProtection="1">
      <alignment horizontal="center" vertical="center" wrapText="1"/>
      <protection locked="0"/>
    </xf>
    <xf numFmtId="168" fontId="29" fillId="0" borderId="0" xfId="0" applyNumberFormat="1" applyFont="1" applyAlignment="1" applyProtection="1">
      <alignment horizontal="left" vertical="center"/>
      <protection locked="0"/>
    </xf>
    <xf numFmtId="168" fontId="29" fillId="0" borderId="92" xfId="0" applyNumberFormat="1" applyFont="1" applyBorder="1" applyAlignment="1" applyProtection="1">
      <alignment horizontal="left" vertical="center"/>
      <protection locked="0"/>
    </xf>
    <xf numFmtId="170" fontId="29" fillId="0" borderId="0" xfId="0" applyNumberFormat="1" applyFont="1" applyAlignment="1" applyProtection="1">
      <alignment horizontal="center" vertical="center"/>
      <protection locked="0"/>
    </xf>
    <xf numFmtId="171" fontId="29" fillId="0" borderId="0" xfId="0" applyNumberFormat="1" applyFont="1" applyAlignment="1" applyProtection="1">
      <alignment horizontal="center" vertical="center"/>
      <protection locked="0"/>
    </xf>
    <xf numFmtId="0" fontId="23" fillId="0" borderId="93" xfId="0" applyFont="1" applyBorder="1" applyAlignment="1">
      <alignment horizontal="center" vertical="center"/>
    </xf>
    <xf numFmtId="0" fontId="23" fillId="0" borderId="23" xfId="0" applyFont="1" applyBorder="1" applyAlignment="1">
      <alignment horizontal="center" vertical="center"/>
    </xf>
    <xf numFmtId="0" fontId="23" fillId="0" borderId="94" xfId="0" applyFont="1" applyBorder="1" applyAlignment="1">
      <alignment horizontal="center" vertical="center"/>
    </xf>
    <xf numFmtId="0" fontId="4" fillId="4" borderId="91" xfId="0" applyFont="1" applyFill="1" applyBorder="1" applyAlignment="1">
      <alignment horizontal="left"/>
    </xf>
    <xf numFmtId="0" fontId="4" fillId="4" borderId="0" xfId="0" applyFont="1" applyFill="1" applyAlignment="1">
      <alignment horizontal="left"/>
    </xf>
    <xf numFmtId="0" fontId="4" fillId="4" borderId="92" xfId="0" applyFont="1" applyFill="1" applyBorder="1" applyAlignment="1">
      <alignment horizontal="left"/>
    </xf>
    <xf numFmtId="168" fontId="20" fillId="0" borderId="0" xfId="0" applyNumberFormat="1" applyFont="1" applyAlignment="1">
      <alignment horizontal="center" vertical="center"/>
    </xf>
    <xf numFmtId="168" fontId="20" fillId="0" borderId="92" xfId="0" applyNumberFormat="1" applyFont="1" applyBorder="1" applyAlignment="1">
      <alignment horizontal="center" vertical="center"/>
    </xf>
    <xf numFmtId="0" fontId="23" fillId="0" borderId="91" xfId="0" applyFont="1" applyBorder="1" applyAlignment="1">
      <alignment horizontal="left" vertical="center" wrapText="1"/>
    </xf>
    <xf numFmtId="0" fontId="23" fillId="4" borderId="100" xfId="0" applyFont="1" applyFill="1" applyBorder="1" applyAlignment="1">
      <alignment horizontal="center" vertical="center"/>
    </xf>
    <xf numFmtId="0" fontId="23" fillId="4" borderId="101" xfId="0" applyFont="1" applyFill="1" applyBorder="1" applyAlignment="1">
      <alignment horizontal="center" vertical="center"/>
    </xf>
    <xf numFmtId="0" fontId="3" fillId="0" borderId="91" xfId="0" applyFont="1" applyBorder="1" applyAlignment="1">
      <alignment horizontal="center" vertical="center"/>
    </xf>
    <xf numFmtId="0" fontId="3" fillId="0" borderId="0" xfId="0" applyFont="1" applyAlignment="1">
      <alignment horizontal="center" vertical="center"/>
    </xf>
    <xf numFmtId="0" fontId="40" fillId="0" borderId="93" xfId="0" applyFont="1" applyBorder="1" applyAlignment="1">
      <alignment horizontal="center" vertical="center"/>
    </xf>
    <xf numFmtId="0" fontId="40" fillId="0" borderId="23" xfId="0" applyFont="1" applyBorder="1" applyAlignment="1">
      <alignment horizontal="center" vertical="center"/>
    </xf>
    <xf numFmtId="0" fontId="40" fillId="0" borderId="94" xfId="0" applyFont="1" applyBorder="1" applyAlignment="1">
      <alignment horizontal="center" vertical="center"/>
    </xf>
    <xf numFmtId="0" fontId="23" fillId="4" borderId="102" xfId="0" applyFont="1" applyFill="1" applyBorder="1" applyAlignment="1">
      <alignment horizontal="center" vertical="center"/>
    </xf>
    <xf numFmtId="0" fontId="23" fillId="0" borderId="0" xfId="0" applyFont="1" applyAlignment="1" applyProtection="1">
      <alignment horizontal="left" vertical="center"/>
      <protection locked="0"/>
    </xf>
    <xf numFmtId="0" fontId="23" fillId="0" borderId="0" xfId="0" applyFont="1" applyAlignment="1">
      <alignment horizontal="center" vertical="center"/>
    </xf>
    <xf numFmtId="0" fontId="23" fillId="0" borderId="92" xfId="0" applyFont="1" applyBorder="1" applyAlignment="1">
      <alignment horizontal="center" vertical="center"/>
    </xf>
    <xf numFmtId="168" fontId="23" fillId="0" borderId="0" xfId="0" applyNumberFormat="1" applyFont="1" applyAlignment="1">
      <alignment horizontal="left" vertical="center"/>
    </xf>
    <xf numFmtId="0" fontId="3" fillId="0" borderId="92" xfId="0" applyFont="1" applyBorder="1" applyAlignment="1">
      <alignment horizontal="center" vertical="center"/>
    </xf>
    <xf numFmtId="0" fontId="3" fillId="0" borderId="0" xfId="0" applyFont="1" applyAlignment="1" applyProtection="1">
      <alignment horizontal="left" vertical="center"/>
      <protection hidden="1"/>
    </xf>
    <xf numFmtId="0" fontId="39" fillId="0" borderId="20" xfId="0" applyFont="1" applyBorder="1" applyAlignment="1">
      <alignment horizontal="left"/>
    </xf>
    <xf numFmtId="0" fontId="39" fillId="0" borderId="0" xfId="0" applyFont="1" applyAlignment="1">
      <alignment horizontal="left"/>
    </xf>
    <xf numFmtId="0" fontId="29" fillId="0" borderId="20"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37" fillId="4" borderId="20" xfId="0" applyFont="1" applyFill="1" applyBorder="1" applyAlignment="1">
      <alignment horizontal="center" vertical="center"/>
    </xf>
    <xf numFmtId="0" fontId="37" fillId="4" borderId="0" xfId="0" applyFont="1" applyFill="1" applyAlignment="1">
      <alignment horizontal="center" vertical="center"/>
    </xf>
    <xf numFmtId="0" fontId="37" fillId="4" borderId="21" xfId="0" applyFont="1" applyFill="1" applyBorder="1" applyAlignment="1">
      <alignment horizontal="center" vertical="center"/>
    </xf>
    <xf numFmtId="0" fontId="23" fillId="0" borderId="0" xfId="0" applyFont="1" applyAlignment="1" applyProtection="1">
      <alignment horizontal="center" vertical="center"/>
      <protection hidden="1"/>
    </xf>
    <xf numFmtId="0" fontId="26" fillId="0" borderId="20" xfId="0" applyFont="1" applyBorder="1" applyAlignment="1">
      <alignment horizontal="left"/>
    </xf>
    <xf numFmtId="0" fontId="26" fillId="0" borderId="0" xfId="0" applyFont="1" applyAlignment="1">
      <alignment horizontal="left"/>
    </xf>
    <xf numFmtId="0" fontId="26" fillId="0" borderId="21" xfId="0" applyFont="1" applyBorder="1" applyAlignment="1">
      <alignment horizontal="left"/>
    </xf>
    <xf numFmtId="0" fontId="23" fillId="0" borderId="0" xfId="0" applyFont="1" applyAlignment="1" applyProtection="1">
      <alignment horizontal="left" vertical="center"/>
      <protection hidden="1"/>
    </xf>
    <xf numFmtId="0" fontId="23" fillId="0" borderId="21" xfId="0" applyFont="1" applyBorder="1" applyAlignment="1" applyProtection="1">
      <alignment horizontal="center" vertical="center"/>
      <protection hidden="1"/>
    </xf>
    <xf numFmtId="0" fontId="53" fillId="0" borderId="17" xfId="0" applyFont="1" applyBorder="1" applyAlignment="1" applyProtection="1">
      <alignment horizontal="center"/>
      <protection hidden="1"/>
    </xf>
    <xf numFmtId="0" fontId="53" fillId="0" borderId="18" xfId="0" applyFont="1" applyBorder="1" applyAlignment="1" applyProtection="1">
      <alignment horizontal="center"/>
      <protection hidden="1"/>
    </xf>
    <xf numFmtId="0" fontId="53" fillId="0" borderId="4" xfId="0" applyFont="1" applyBorder="1" applyAlignment="1" applyProtection="1">
      <alignment horizontal="center"/>
      <protection hidden="1"/>
    </xf>
    <xf numFmtId="0" fontId="53" fillId="0" borderId="20" xfId="0" applyFont="1" applyBorder="1" applyAlignment="1" applyProtection="1">
      <alignment horizontal="center"/>
      <protection hidden="1"/>
    </xf>
    <xf numFmtId="0" fontId="53" fillId="0" borderId="0" xfId="0" applyFont="1" applyAlignment="1" applyProtection="1">
      <alignment horizontal="center"/>
      <protection hidden="1"/>
    </xf>
    <xf numFmtId="0" fontId="53" fillId="0" borderId="21" xfId="0" applyFont="1" applyBorder="1" applyAlignment="1" applyProtection="1">
      <alignment horizontal="center"/>
      <protection hidden="1"/>
    </xf>
    <xf numFmtId="0" fontId="53" fillId="0" borderId="19" xfId="0" applyFont="1" applyBorder="1" applyAlignment="1" applyProtection="1">
      <alignment horizontal="center"/>
      <protection hidden="1"/>
    </xf>
    <xf numFmtId="0" fontId="53" fillId="0" borderId="1" xfId="0" applyFont="1" applyBorder="1" applyAlignment="1" applyProtection="1">
      <alignment horizontal="center"/>
      <protection hidden="1"/>
    </xf>
    <xf numFmtId="0" fontId="53" fillId="0" borderId="15" xfId="0" applyFont="1" applyBorder="1" applyAlignment="1" applyProtection="1">
      <alignment horizontal="center"/>
      <protection hidden="1"/>
    </xf>
    <xf numFmtId="0" fontId="29" fillId="0" borderId="21" xfId="0" applyFont="1" applyBorder="1" applyAlignment="1">
      <alignment horizontal="left" vertical="center"/>
    </xf>
    <xf numFmtId="0" fontId="40" fillId="0" borderId="0" xfId="0" applyFont="1" applyAlignment="1" applyProtection="1">
      <alignment horizontal="center" vertical="center" wrapText="1"/>
      <protection hidden="1"/>
    </xf>
    <xf numFmtId="1" fontId="6" fillId="0" borderId="0" xfId="0" applyNumberFormat="1" applyFont="1" applyAlignment="1">
      <alignment horizontal="left" vertical="center"/>
    </xf>
    <xf numFmtId="0" fontId="6" fillId="0" borderId="119"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xf>
    <xf numFmtId="0" fontId="29" fillId="0" borderId="0" xfId="0" applyFont="1" applyAlignment="1">
      <alignment horizontal="center" vertical="center" wrapText="1"/>
    </xf>
    <xf numFmtId="3" fontId="29"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3" fontId="6" fillId="0" borderId="118" xfId="0" applyNumberFormat="1" applyFont="1" applyBorder="1" applyAlignment="1">
      <alignment horizontal="center" vertical="center"/>
    </xf>
    <xf numFmtId="3" fontId="6" fillId="0" borderId="109" xfId="0" applyNumberFormat="1" applyFont="1" applyBorder="1" applyAlignment="1">
      <alignment horizontal="center" vertical="center"/>
    </xf>
    <xf numFmtId="0" fontId="6" fillId="0" borderId="118" xfId="0" applyFont="1" applyBorder="1" applyAlignment="1">
      <alignment horizontal="center"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12" xfId="0" applyFont="1" applyBorder="1" applyAlignment="1">
      <alignment horizontal="left" vertical="center"/>
    </xf>
    <xf numFmtId="165" fontId="40" fillId="0" borderId="22" xfId="0" applyNumberFormat="1" applyFont="1" applyBorder="1" applyAlignment="1">
      <alignment horizontal="center" vertical="center"/>
    </xf>
    <xf numFmtId="165" fontId="40" fillId="0" borderId="8" xfId="0" applyNumberFormat="1"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40" fillId="0" borderId="5" xfId="0" applyFont="1" applyBorder="1" applyAlignment="1">
      <alignment horizontal="center" vertical="center"/>
    </xf>
    <xf numFmtId="0" fontId="40" fillId="0" borderId="16" xfId="0" applyFont="1" applyBorder="1" applyAlignment="1">
      <alignment horizontal="center" vertical="center"/>
    </xf>
    <xf numFmtId="0" fontId="40" fillId="0" borderId="22"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0" xfId="0" applyFont="1" applyAlignment="1">
      <alignment horizontal="right" vertical="center"/>
    </xf>
    <xf numFmtId="0" fontId="40" fillId="0" borderId="0" xfId="0" applyFont="1" applyAlignment="1" applyProtection="1">
      <alignment horizontal="left" vertical="center"/>
      <protection locked="0"/>
    </xf>
    <xf numFmtId="0" fontId="41" fillId="0" borderId="17" xfId="0" applyFont="1" applyBorder="1" applyAlignment="1">
      <alignment horizontal="center" vertical="center"/>
    </xf>
    <xf numFmtId="0" fontId="41" fillId="0" borderId="18" xfId="0" applyFont="1" applyBorder="1" applyAlignment="1">
      <alignment horizontal="center" vertical="center"/>
    </xf>
    <xf numFmtId="0" fontId="41" fillId="0" borderId="4" xfId="0" applyFont="1" applyBorder="1" applyAlignment="1">
      <alignment horizontal="center" vertical="center"/>
    </xf>
    <xf numFmtId="0" fontId="41" fillId="0" borderId="19" xfId="0" applyFont="1" applyBorder="1" applyAlignment="1">
      <alignment horizontal="center" vertical="center"/>
    </xf>
    <xf numFmtId="0" fontId="41" fillId="0" borderId="1" xfId="0" applyFont="1" applyBorder="1" applyAlignment="1">
      <alignment horizontal="center" vertical="center"/>
    </xf>
    <xf numFmtId="0" fontId="41" fillId="0" borderId="15" xfId="0" applyFont="1" applyBorder="1" applyAlignment="1">
      <alignment horizontal="center" vertical="center"/>
    </xf>
    <xf numFmtId="0" fontId="40" fillId="0" borderId="4" xfId="0" applyFont="1" applyBorder="1" applyAlignment="1">
      <alignment horizontal="center" vertical="center"/>
    </xf>
    <xf numFmtId="0" fontId="40" fillId="0" borderId="15" xfId="0" applyFont="1" applyBorder="1" applyAlignment="1">
      <alignment horizontal="center" vertical="center"/>
    </xf>
    <xf numFmtId="0" fontId="33" fillId="2" borderId="22"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2" xfId="0" applyFont="1" applyFill="1" applyBorder="1" applyAlignment="1">
      <alignment horizontal="center" vertical="center"/>
    </xf>
    <xf numFmtId="165" fontId="40" fillId="0" borderId="5" xfId="0" applyNumberFormat="1" applyFont="1" applyBorder="1" applyAlignment="1">
      <alignment horizontal="right" vertical="center"/>
    </xf>
    <xf numFmtId="165" fontId="40" fillId="0" borderId="16" xfId="0" applyNumberFormat="1" applyFont="1" applyBorder="1" applyAlignment="1">
      <alignment horizontal="right" vertical="center"/>
    </xf>
    <xf numFmtId="0" fontId="40" fillId="0" borderId="2"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165" fontId="40" fillId="0" borderId="3" xfId="0" applyNumberFormat="1" applyFont="1" applyBorder="1" applyAlignment="1">
      <alignment horizontal="right" vertical="center"/>
    </xf>
    <xf numFmtId="165" fontId="40" fillId="0" borderId="14" xfId="0" applyNumberFormat="1" applyFont="1" applyBorder="1" applyAlignment="1">
      <alignment horizontal="right" vertical="center"/>
    </xf>
    <xf numFmtId="0" fontId="40" fillId="0" borderId="17" xfId="0" applyFont="1" applyBorder="1" applyAlignment="1">
      <alignment horizontal="center" vertical="center"/>
    </xf>
    <xf numFmtId="0" fontId="40" fillId="0" borderId="19" xfId="0" applyFont="1" applyBorder="1" applyAlignment="1">
      <alignment horizontal="center" vertical="center"/>
    </xf>
    <xf numFmtId="0" fontId="40" fillId="0" borderId="10" xfId="0" applyFont="1" applyBorder="1" applyAlignment="1">
      <alignment horizontal="center" vertical="center"/>
    </xf>
    <xf numFmtId="0" fontId="40" fillId="0" borderId="8" xfId="0" applyFont="1" applyBorder="1" applyAlignment="1">
      <alignment horizontal="center" vertical="center"/>
    </xf>
    <xf numFmtId="0" fontId="31" fillId="0" borderId="0" xfId="0" applyFont="1" applyAlignment="1">
      <alignment horizontal="right" vertical="center" wrapText="1"/>
    </xf>
    <xf numFmtId="49" fontId="4" fillId="6" borderId="0" xfId="0" applyNumberFormat="1" applyFont="1" applyFill="1" applyAlignment="1">
      <alignment horizontal="left" vertical="top" wrapText="1"/>
    </xf>
    <xf numFmtId="0" fontId="41" fillId="0" borderId="10" xfId="0" applyFont="1" applyBorder="1" applyAlignment="1">
      <alignment horizontal="center" vertical="center"/>
    </xf>
    <xf numFmtId="0" fontId="41" fillId="0" borderId="8" xfId="0" applyFont="1" applyBorder="1" applyAlignment="1">
      <alignment horizontal="center" vertical="center"/>
    </xf>
    <xf numFmtId="0" fontId="27" fillId="0" borderId="1" xfId="0" applyFont="1" applyBorder="1" applyAlignment="1" applyProtection="1">
      <alignment horizontal="center" vertical="center"/>
      <protection locked="0"/>
    </xf>
    <xf numFmtId="0" fontId="31" fillId="0" borderId="0" xfId="0" applyFont="1" applyAlignment="1">
      <alignment horizontal="right" vertical="center"/>
    </xf>
    <xf numFmtId="0" fontId="40" fillId="0" borderId="0" xfId="0" applyFont="1" applyAlignment="1">
      <alignment horizontal="left" vertical="center"/>
    </xf>
    <xf numFmtId="0" fontId="31" fillId="0" borderId="0" xfId="0" applyFont="1" applyAlignment="1">
      <alignment horizontal="center" vertical="center"/>
    </xf>
    <xf numFmtId="0" fontId="3" fillId="0" borderId="0" xfId="0" applyFont="1" applyAlignment="1">
      <alignment horizontal="center"/>
    </xf>
    <xf numFmtId="3" fontId="4" fillId="0" borderId="54" xfId="0" applyNumberFormat="1" applyFont="1" applyBorder="1" applyAlignment="1">
      <alignment horizontal="center" vertical="center"/>
    </xf>
    <xf numFmtId="3" fontId="4" fillId="0" borderId="55" xfId="0" applyNumberFormat="1" applyFont="1" applyBorder="1" applyAlignment="1">
      <alignment horizontal="center" vertical="center"/>
    </xf>
    <xf numFmtId="0" fontId="43" fillId="0" borderId="0" xfId="0" applyFont="1" applyAlignment="1">
      <alignment horizontal="center"/>
    </xf>
    <xf numFmtId="0" fontId="29" fillId="0" borderId="0" xfId="0" applyFont="1" applyAlignment="1">
      <alignment horizontal="center"/>
    </xf>
    <xf numFmtId="0" fontId="69" fillId="0" borderId="0" xfId="0" applyFont="1" applyAlignment="1">
      <alignment horizontal="center" vertical="center" wrapText="1"/>
    </xf>
    <xf numFmtId="173" fontId="20" fillId="0" borderId="0" xfId="0" applyNumberFormat="1" applyFont="1" applyAlignment="1">
      <alignment horizontal="center" vertical="center" wrapText="1"/>
    </xf>
    <xf numFmtId="173" fontId="29" fillId="0" borderId="106" xfId="0" applyNumberFormat="1" applyFont="1" applyBorder="1" applyAlignment="1">
      <alignment horizontal="center" vertical="center" wrapText="1"/>
    </xf>
    <xf numFmtId="173" fontId="29" fillId="0" borderId="107" xfId="0" applyNumberFormat="1" applyFont="1" applyBorder="1" applyAlignment="1">
      <alignment horizontal="center" vertical="center" wrapText="1"/>
    </xf>
    <xf numFmtId="0" fontId="20" fillId="0" borderId="0" xfId="0" applyFont="1" applyAlignment="1">
      <alignment horizontal="center" wrapText="1"/>
    </xf>
    <xf numFmtId="0" fontId="27" fillId="0" borderId="50"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173" fontId="20" fillId="0" borderId="0" xfId="0" applyNumberFormat="1" applyFont="1" applyAlignment="1">
      <alignment horizontal="left" vertical="center" wrapText="1"/>
    </xf>
    <xf numFmtId="173" fontId="46" fillId="0" borderId="0" xfId="0" applyNumberFormat="1" applyFont="1" applyAlignment="1">
      <alignment horizontal="center" vertical="center" wrapText="1"/>
    </xf>
    <xf numFmtId="173" fontId="46" fillId="0" borderId="120" xfId="0" applyNumberFormat="1" applyFont="1" applyBorder="1" applyAlignment="1">
      <alignment horizontal="center" vertical="center"/>
    </xf>
    <xf numFmtId="4" fontId="46" fillId="0" borderId="120" xfId="0" applyNumberFormat="1" applyFont="1" applyBorder="1" applyAlignment="1">
      <alignment horizontal="center" vertical="center" wrapText="1"/>
    </xf>
    <xf numFmtId="165" fontId="20" fillId="0" borderId="120" xfId="0" applyNumberFormat="1" applyFont="1" applyBorder="1" applyAlignment="1">
      <alignment horizontal="center" vertical="center" wrapText="1"/>
    </xf>
    <xf numFmtId="165" fontId="46" fillId="0" borderId="120" xfId="0" applyNumberFormat="1" applyFont="1" applyBorder="1" applyAlignment="1">
      <alignment horizontal="center" vertical="center" wrapText="1"/>
    </xf>
    <xf numFmtId="1" fontId="29" fillId="0" borderId="0" xfId="0" applyNumberFormat="1" applyFont="1" applyAlignment="1">
      <alignment horizontal="right"/>
    </xf>
    <xf numFmtId="1" fontId="29" fillId="0" borderId="0" xfId="0" applyNumberFormat="1" applyFont="1" applyAlignment="1">
      <alignment horizontal="left"/>
    </xf>
    <xf numFmtId="0" fontId="31" fillId="0" borderId="42" xfId="0" applyFont="1" applyBorder="1" applyAlignment="1">
      <alignment horizontal="center" vertical="center"/>
    </xf>
    <xf numFmtId="0" fontId="31" fillId="0" borderId="27" xfId="0" applyFont="1" applyBorder="1" applyAlignment="1">
      <alignment horizontal="center" vertical="center"/>
    </xf>
    <xf numFmtId="0" fontId="31" fillId="0" borderId="43" xfId="0" applyFont="1" applyBorder="1" applyAlignment="1">
      <alignment horizontal="center" vertical="center"/>
    </xf>
    <xf numFmtId="4" fontId="26" fillId="0" borderId="36" xfId="0" applyNumberFormat="1" applyFont="1" applyBorder="1" applyAlignment="1">
      <alignment horizontal="left" vertical="center" wrapText="1"/>
    </xf>
    <xf numFmtId="4" fontId="26" fillId="0" borderId="37" xfId="0" applyNumberFormat="1" applyFont="1" applyBorder="1" applyAlignment="1">
      <alignment horizontal="left" vertical="center" wrapText="1"/>
    </xf>
    <xf numFmtId="4" fontId="26" fillId="0" borderId="38" xfId="0" applyNumberFormat="1" applyFont="1" applyBorder="1" applyAlignment="1">
      <alignment horizontal="left" vertical="center" wrapText="1"/>
    </xf>
    <xf numFmtId="0" fontId="26" fillId="0" borderId="36" xfId="0" applyFont="1" applyBorder="1" applyAlignment="1">
      <alignment horizontal="left" vertical="center" wrapText="1"/>
    </xf>
    <xf numFmtId="0" fontId="26" fillId="0" borderId="39" xfId="0" applyFont="1" applyBorder="1" applyAlignment="1">
      <alignment horizontal="left" vertical="center" wrapText="1"/>
    </xf>
    <xf numFmtId="0" fontId="26" fillId="0" borderId="31" xfId="0" applyFont="1" applyBorder="1" applyAlignment="1">
      <alignment horizontal="left" vertical="center" wrapText="1"/>
    </xf>
    <xf numFmtId="0" fontId="26" fillId="0" borderId="10" xfId="0" applyFont="1" applyBorder="1" applyAlignment="1">
      <alignment horizontal="left" vertical="center" wrapText="1"/>
    </xf>
    <xf numFmtId="0" fontId="6" fillId="0" borderId="63" xfId="0" applyFont="1" applyBorder="1" applyAlignment="1">
      <alignment horizontal="center" vertical="center" wrapText="1"/>
    </xf>
    <xf numFmtId="0" fontId="6" fillId="0" borderId="49" xfId="0" applyFont="1" applyBorder="1" applyAlignment="1">
      <alignment horizontal="center" vertical="center" wrapText="1"/>
    </xf>
    <xf numFmtId="0" fontId="26" fillId="0" borderId="36" xfId="0" applyFont="1" applyBorder="1" applyAlignment="1">
      <alignment horizontal="left" vertical="center"/>
    </xf>
    <xf numFmtId="0" fontId="26" fillId="0" borderId="39" xfId="0" applyFont="1" applyBorder="1" applyAlignment="1">
      <alignment horizontal="left" vertical="center"/>
    </xf>
    <xf numFmtId="0" fontId="26" fillId="0" borderId="33" xfId="0" applyFont="1" applyBorder="1" applyAlignment="1">
      <alignment horizontal="left" vertical="center" wrapText="1"/>
    </xf>
    <xf numFmtId="0" fontId="26" fillId="0" borderId="40" xfId="0" applyFont="1" applyBorder="1" applyAlignment="1">
      <alignment horizontal="left" vertical="center" wrapText="1"/>
    </xf>
    <xf numFmtId="0" fontId="26" fillId="0" borderId="46" xfId="0" applyFont="1" applyBorder="1" applyAlignment="1">
      <alignment horizontal="left" vertical="center" wrapText="1"/>
    </xf>
    <xf numFmtId="0" fontId="26" fillId="0" borderId="61" xfId="0" applyFont="1" applyBorder="1" applyAlignment="1">
      <alignment horizontal="left" vertical="center" wrapText="1"/>
    </xf>
    <xf numFmtId="0" fontId="26" fillId="0" borderId="60" xfId="0" applyFont="1" applyBorder="1" applyAlignment="1">
      <alignment horizontal="left" vertical="center" wrapText="1"/>
    </xf>
    <xf numFmtId="0" fontId="26" fillId="0" borderId="17" xfId="0" applyFont="1" applyBorder="1" applyAlignment="1">
      <alignment horizontal="left" vertical="center" wrapText="1"/>
    </xf>
    <xf numFmtId="4" fontId="26" fillId="0" borderId="47" xfId="0" applyNumberFormat="1" applyFont="1" applyBorder="1" applyAlignment="1">
      <alignment horizontal="left" vertical="center" wrapText="1"/>
    </xf>
    <xf numFmtId="4" fontId="26" fillId="0" borderId="110" xfId="0" applyNumberFormat="1" applyFont="1" applyBorder="1" applyAlignment="1">
      <alignment horizontal="left" vertical="center" wrapText="1"/>
    </xf>
    <xf numFmtId="4" fontId="26" fillId="0" borderId="111" xfId="0" applyNumberFormat="1" applyFont="1" applyBorder="1" applyAlignment="1">
      <alignment horizontal="left" vertical="center" wrapText="1"/>
    </xf>
    <xf numFmtId="0" fontId="3" fillId="0" borderId="0" xfId="0" applyFont="1" applyAlignment="1">
      <alignment horizontal="left" vertical="center" wrapText="1"/>
    </xf>
    <xf numFmtId="0" fontId="43" fillId="0" borderId="27" xfId="0" applyFont="1" applyBorder="1" applyAlignment="1">
      <alignment horizontal="center"/>
    </xf>
    <xf numFmtId="0" fontId="29" fillId="0" borderId="0" xfId="0" applyFont="1" applyAlignment="1">
      <alignment horizontal="center" vertical="center"/>
    </xf>
    <xf numFmtId="0" fontId="43" fillId="0" borderId="26" xfId="0" applyFont="1" applyBorder="1" applyAlignment="1">
      <alignment horizontal="center"/>
    </xf>
    <xf numFmtId="0" fontId="6" fillId="0" borderId="26" xfId="0" applyFont="1" applyBorder="1" applyAlignment="1">
      <alignment horizontal="center"/>
    </xf>
    <xf numFmtId="0" fontId="6" fillId="0" borderId="70" xfId="0" applyFont="1" applyBorder="1" applyAlignment="1">
      <alignment horizontal="center"/>
    </xf>
    <xf numFmtId="0" fontId="67" fillId="0" borderId="112" xfId="0" applyFont="1" applyBorder="1" applyAlignment="1">
      <alignment horizontal="center" vertical="center" wrapText="1"/>
    </xf>
    <xf numFmtId="0" fontId="67" fillId="0" borderId="18" xfId="0" applyFont="1" applyBorder="1" applyAlignment="1">
      <alignment horizontal="center" vertical="center" wrapText="1"/>
    </xf>
    <xf numFmtId="0" fontId="67" fillId="0" borderId="121" xfId="0" applyFont="1" applyBorder="1" applyAlignment="1">
      <alignment horizontal="center" vertical="center" wrapText="1"/>
    </xf>
    <xf numFmtId="0" fontId="67" fillId="0" borderId="122" xfId="0" applyFont="1" applyBorder="1" applyAlignment="1">
      <alignment horizontal="center" vertical="center" wrapText="1"/>
    </xf>
    <xf numFmtId="4" fontId="67" fillId="0" borderId="18" xfId="0" applyNumberFormat="1" applyFont="1" applyBorder="1" applyAlignment="1">
      <alignment horizontal="center" vertical="center"/>
    </xf>
    <xf numFmtId="4" fontId="67" fillId="0" borderId="113" xfId="0" applyNumberFormat="1" applyFont="1" applyBorder="1" applyAlignment="1">
      <alignment horizontal="center" vertical="center"/>
    </xf>
    <xf numFmtId="4" fontId="67" fillId="0" borderId="122" xfId="0" applyNumberFormat="1" applyFont="1" applyBorder="1" applyAlignment="1">
      <alignment horizontal="center" vertical="center"/>
    </xf>
    <xf numFmtId="4" fontId="67" fillId="0" borderId="123" xfId="0" applyNumberFormat="1" applyFont="1" applyBorder="1" applyAlignment="1">
      <alignment horizontal="center" vertical="center"/>
    </xf>
    <xf numFmtId="0" fontId="3" fillId="0" borderId="74" xfId="0" applyFont="1" applyBorder="1" applyAlignment="1">
      <alignment horizontal="center"/>
    </xf>
    <xf numFmtId="167" fontId="23" fillId="0" borderId="0" xfId="0" applyNumberFormat="1" applyFont="1" applyAlignment="1">
      <alignment horizontal="center"/>
    </xf>
    <xf numFmtId="167" fontId="23" fillId="0" borderId="69" xfId="0" applyNumberFormat="1" applyFont="1" applyBorder="1" applyAlignment="1">
      <alignment horizontal="center"/>
    </xf>
    <xf numFmtId="4" fontId="31" fillId="0" borderId="47" xfId="0" applyNumberFormat="1" applyFont="1" applyBorder="1" applyAlignment="1">
      <alignment horizontal="right" vertical="center"/>
    </xf>
    <xf numFmtId="4" fontId="31" fillId="0" borderId="48" xfId="0" applyNumberFormat="1" applyFont="1" applyBorder="1" applyAlignment="1">
      <alignment horizontal="right" vertical="center"/>
    </xf>
    <xf numFmtId="4" fontId="26" fillId="0" borderId="31" xfId="0" applyNumberFormat="1" applyFont="1" applyBorder="1" applyAlignment="1">
      <alignment horizontal="left" vertical="center"/>
    </xf>
    <xf numFmtId="4" fontId="26" fillId="0" borderId="6" xfId="0" applyNumberFormat="1" applyFont="1" applyBorder="1" applyAlignment="1">
      <alignment horizontal="left" vertical="center"/>
    </xf>
    <xf numFmtId="167" fontId="23" fillId="4" borderId="0" xfId="0" applyNumberFormat="1" applyFont="1" applyFill="1" applyAlignment="1">
      <alignment horizontal="center"/>
    </xf>
    <xf numFmtId="167" fontId="23" fillId="4" borderId="69" xfId="0" applyNumberFormat="1" applyFont="1" applyFill="1" applyBorder="1" applyAlignment="1">
      <alignment horizontal="center"/>
    </xf>
    <xf numFmtId="0" fontId="3" fillId="4" borderId="0" xfId="0" applyFont="1" applyFill="1" applyAlignment="1">
      <alignment horizontal="center"/>
    </xf>
    <xf numFmtId="0" fontId="3" fillId="4" borderId="69" xfId="0" applyFont="1" applyFill="1" applyBorder="1" applyAlignment="1">
      <alignment horizontal="center"/>
    </xf>
    <xf numFmtId="0" fontId="26" fillId="0" borderId="46" xfId="0" applyFont="1" applyBorder="1" applyAlignment="1">
      <alignment horizontal="left" vertical="center"/>
    </xf>
    <xf numFmtId="0" fontId="26" fillId="0" borderId="8" xfId="0" applyFont="1" applyBorder="1" applyAlignment="1">
      <alignment horizontal="left" vertical="center"/>
    </xf>
    <xf numFmtId="0" fontId="26" fillId="4" borderId="46" xfId="0" applyFont="1" applyFill="1" applyBorder="1" applyAlignment="1">
      <alignment horizontal="left" vertical="center"/>
    </xf>
    <xf numFmtId="0" fontId="26" fillId="4" borderId="8" xfId="0" applyFont="1" applyFill="1" applyBorder="1" applyAlignment="1">
      <alignment horizontal="left" vertical="center"/>
    </xf>
    <xf numFmtId="0" fontId="31" fillId="4" borderId="42" xfId="0" applyFont="1" applyFill="1" applyBorder="1" applyAlignment="1">
      <alignment horizontal="center" vertical="center"/>
    </xf>
    <xf numFmtId="0" fontId="31" fillId="4" borderId="27" xfId="0" applyFont="1" applyFill="1" applyBorder="1" applyAlignment="1">
      <alignment horizontal="center" vertical="center"/>
    </xf>
    <xf numFmtId="0" fontId="31" fillId="4" borderId="43" xfId="0" applyFont="1" applyFill="1" applyBorder="1" applyAlignment="1">
      <alignment horizontal="center" vertical="center"/>
    </xf>
    <xf numFmtId="0" fontId="26" fillId="4" borderId="44" xfId="0" applyFont="1" applyFill="1" applyBorder="1" applyAlignment="1">
      <alignment horizontal="center" vertical="center"/>
    </xf>
    <xf numFmtId="0" fontId="26" fillId="4" borderId="0" xfId="0" applyFont="1" applyFill="1" applyAlignment="1">
      <alignment horizontal="center" vertical="center"/>
    </xf>
    <xf numFmtId="0" fontId="31" fillId="0" borderId="45" xfId="0" applyFont="1" applyBorder="1" applyAlignment="1">
      <alignment horizontal="center" vertical="center"/>
    </xf>
    <xf numFmtId="0" fontId="31" fillId="0" borderId="78" xfId="0" applyFont="1" applyBorder="1" applyAlignment="1">
      <alignment horizontal="center" vertical="center"/>
    </xf>
    <xf numFmtId="0" fontId="31" fillId="4" borderId="47" xfId="0" applyFont="1" applyFill="1" applyBorder="1" applyAlignment="1">
      <alignment horizontal="center" vertical="center"/>
    </xf>
    <xf numFmtId="0" fontId="31" fillId="4" borderId="48" xfId="0" applyFont="1" applyFill="1" applyBorder="1" applyAlignment="1">
      <alignment horizontal="center" vertical="center"/>
    </xf>
    <xf numFmtId="4" fontId="26" fillId="0" borderId="46" xfId="0" applyNumberFormat="1" applyFont="1" applyBorder="1" applyAlignment="1">
      <alignment horizontal="left" vertical="center"/>
    </xf>
    <xf numFmtId="4" fontId="26" fillId="0" borderId="8" xfId="0" applyNumberFormat="1" applyFont="1" applyBorder="1" applyAlignment="1">
      <alignment horizontal="left" vertical="center"/>
    </xf>
    <xf numFmtId="9" fontId="31" fillId="4" borderId="0" xfId="0" applyNumberFormat="1" applyFont="1" applyFill="1" applyAlignment="1">
      <alignment horizontal="center" vertical="center" wrapText="1"/>
    </xf>
    <xf numFmtId="9" fontId="31" fillId="0" borderId="0" xfId="0" applyNumberFormat="1" applyFont="1" applyAlignment="1">
      <alignment horizontal="center" vertical="center" wrapText="1"/>
    </xf>
    <xf numFmtId="0" fontId="37" fillId="0" borderId="41" xfId="0" applyFont="1" applyBorder="1" applyAlignment="1">
      <alignment horizontal="center"/>
    </xf>
    <xf numFmtId="0" fontId="26" fillId="0" borderId="36" xfId="0" applyFont="1" applyBorder="1" applyAlignment="1">
      <alignment horizontal="center"/>
    </xf>
    <xf numFmtId="0" fontId="26" fillId="0" borderId="37" xfId="0" applyFont="1" applyBorder="1" applyAlignment="1">
      <alignment horizontal="center"/>
    </xf>
    <xf numFmtId="0" fontId="5" fillId="0" borderId="0" xfId="0" applyFont="1" applyAlignment="1">
      <alignment horizontal="center"/>
    </xf>
    <xf numFmtId="0" fontId="67" fillId="0" borderId="44" xfId="0" applyFont="1" applyBorder="1" applyAlignment="1">
      <alignment horizontal="left" vertical="center" wrapText="1"/>
    </xf>
    <xf numFmtId="0" fontId="67" fillId="0" borderId="0" xfId="0" applyFont="1" applyAlignment="1">
      <alignment horizontal="left" vertical="center" wrapText="1"/>
    </xf>
    <xf numFmtId="0" fontId="3" fillId="4" borderId="76" xfId="0" applyFont="1" applyFill="1" applyBorder="1" applyAlignment="1">
      <alignment horizontal="center"/>
    </xf>
    <xf numFmtId="0" fontId="3" fillId="4" borderId="77" xfId="0" applyFont="1" applyFill="1" applyBorder="1" applyAlignment="1">
      <alignment horizontal="center"/>
    </xf>
    <xf numFmtId="0" fontId="37" fillId="0" borderId="64" xfId="0" applyFont="1" applyBorder="1" applyAlignment="1">
      <alignment horizontal="center" vertical="center"/>
    </xf>
    <xf numFmtId="0" fontId="37" fillId="0" borderId="65" xfId="0" applyFont="1" applyBorder="1" applyAlignment="1">
      <alignment horizontal="center" vertical="center"/>
    </xf>
    <xf numFmtId="0" fontId="37"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51" xfId="0" applyFont="1" applyBorder="1" applyAlignment="1">
      <alignment horizontal="center" vertical="center"/>
    </xf>
    <xf numFmtId="0" fontId="31" fillId="0" borderId="68" xfId="0" applyFont="1" applyBorder="1" applyAlignment="1">
      <alignment horizontal="center" vertical="center"/>
    </xf>
    <xf numFmtId="0" fontId="26" fillId="0" borderId="46" xfId="0" applyFont="1" applyBorder="1" applyAlignment="1">
      <alignment horizontal="center" vertical="center"/>
    </xf>
    <xf numFmtId="0" fontId="26" fillId="0" borderId="8" xfId="0" applyFont="1" applyBorder="1" applyAlignment="1">
      <alignment horizontal="center" vertical="center"/>
    </xf>
    <xf numFmtId="167" fontId="31" fillId="4" borderId="0" xfId="0" applyNumberFormat="1" applyFont="1" applyFill="1" applyAlignment="1">
      <alignment horizontal="left"/>
    </xf>
    <xf numFmtId="0" fontId="31" fillId="3" borderId="28" xfId="0" applyFont="1" applyFill="1" applyBorder="1" applyAlignment="1">
      <alignment horizontal="center" vertical="center"/>
    </xf>
    <xf numFmtId="0" fontId="31" fillId="3" borderId="29" xfId="0" applyFont="1" applyFill="1" applyBorder="1" applyAlignment="1">
      <alignment horizontal="center" vertical="center"/>
    </xf>
    <xf numFmtId="0" fontId="3" fillId="4" borderId="74" xfId="0" applyFont="1" applyFill="1" applyBorder="1" applyAlignment="1">
      <alignment horizontal="left"/>
    </xf>
    <xf numFmtId="0" fontId="3" fillId="4" borderId="0" xfId="0" applyFont="1" applyFill="1" applyAlignment="1">
      <alignment horizontal="left"/>
    </xf>
    <xf numFmtId="0" fontId="3" fillId="4" borderId="69" xfId="0" applyFont="1" applyFill="1" applyBorder="1" applyAlignment="1">
      <alignment horizontal="left"/>
    </xf>
    <xf numFmtId="0" fontId="23" fillId="4" borderId="75" xfId="0" applyFont="1" applyFill="1" applyBorder="1" applyAlignment="1">
      <alignment horizontal="center"/>
    </xf>
    <xf numFmtId="0" fontId="23" fillId="4" borderId="76" xfId="0" applyFont="1" applyFill="1" applyBorder="1" applyAlignment="1">
      <alignment horizontal="center"/>
    </xf>
  </cellXfs>
  <cellStyles count="5">
    <cellStyle name="Euro" xfId="1" xr:uid="{00000000-0005-0000-0000-000000000000}"/>
    <cellStyle name="Lien hypertexte" xfId="2" builtinId="8"/>
    <cellStyle name="Milliers" xfId="3" builtinId="3"/>
    <cellStyle name="Normal" xfId="0" builtinId="0"/>
    <cellStyle name="Normal 2" xfId="4" xr:uid="{00000000-0005-0000-0000-000004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00B050"/>
      <color rgb="FF33CC33"/>
      <color rgb="FF05BEFF"/>
      <color rgb="FF000000"/>
      <color rgb="FF97FFC6"/>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0</xdr:row>
      <xdr:rowOff>2028824</xdr:rowOff>
    </xdr:to>
    <xdr:sp macro="" textlink="" fLocksText="0">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0" y="0"/>
          <a:ext cx="6858000"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25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DEMANDE DE PRISE EN CHARGE 2025</a:t>
          </a:r>
          <a:endParaRPr kumimoji="0" lang="fr-FR" sz="2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 compléter et à retourner </a:t>
          </a:r>
          <a:r>
            <a:rPr kumimoji="0" lang="fr-FR" sz="3200" b="1" i="0" u="sng"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exclusivement</a:t>
          </a: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 à : </a:t>
          </a:r>
          <a:r>
            <a:rPr kumimoji="0" lang="fr-FR" sz="3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aquitaine@anfh.fr</a:t>
          </a:r>
        </a:p>
      </xdr:txBody>
    </xdr:sp>
    <xdr:clientData/>
  </xdr:twoCellAnchor>
  <xdr:twoCellAnchor editAs="oneCell">
    <xdr:from>
      <xdr:col>2</xdr:col>
      <xdr:colOff>967740</xdr:colOff>
      <xdr:row>0</xdr:row>
      <xdr:rowOff>936475</xdr:rowOff>
    </xdr:from>
    <xdr:to>
      <xdr:col>3</xdr:col>
      <xdr:colOff>1230630</xdr:colOff>
      <xdr:row>0</xdr:row>
      <xdr:rowOff>1502680</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5460" y="936475"/>
          <a:ext cx="1619250" cy="566205"/>
        </a:xfrm>
        <a:prstGeom prst="rect">
          <a:avLst/>
        </a:prstGeom>
      </xdr:spPr>
    </xdr:pic>
    <xdr:clientData/>
  </xdr:twoCellAnchor>
  <xdr:oneCellAnchor>
    <xdr:from>
      <xdr:col>0</xdr:col>
      <xdr:colOff>0</xdr:colOff>
      <xdr:row>52</xdr:row>
      <xdr:rowOff>22860</xdr:rowOff>
    </xdr:from>
    <xdr:ext cx="988182" cy="655320"/>
    <xdr:pic>
      <xdr:nvPicPr>
        <xdr:cNvPr id="17" name="Image 16" descr="Une image contenant Panneau de signalisation, signe&#10;&#10;Description générée automatiquement">
          <a:extLst>
            <a:ext uri="{FF2B5EF4-FFF2-40B4-BE49-F238E27FC236}">
              <a16:creationId xmlns:a16="http://schemas.microsoft.com/office/drawing/2014/main" id="{1A67BC48-0522-4FB6-9E44-46CA96FF9CC6}"/>
            </a:ext>
          </a:extLst>
        </xdr:cNvPr>
        <xdr:cNvPicPr>
          <a:picLocks noChangeAspect="1"/>
        </xdr:cNvPicPr>
      </xdr:nvPicPr>
      <xdr:blipFill>
        <a:blip xmlns:r="http://schemas.openxmlformats.org/officeDocument/2006/relationships" r:embed="rId3"/>
        <a:stretch>
          <a:fillRect/>
        </a:stretch>
      </xdr:blipFill>
      <xdr:spPr>
        <a:xfrm>
          <a:off x="0" y="26746200"/>
          <a:ext cx="988182" cy="65532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1038225</xdr:colOff>
      <xdr:row>0</xdr:row>
      <xdr:rowOff>1952625</xdr:rowOff>
    </xdr:to>
    <xdr:sp macro="" textlink="" fLocksText="0">
      <xdr:nvSpPr>
        <xdr:cNvPr id="4" name="Text Box 8">
          <a:extLst>
            <a:ext uri="{FF2B5EF4-FFF2-40B4-BE49-F238E27FC236}">
              <a16:creationId xmlns:a16="http://schemas.microsoft.com/office/drawing/2014/main" id="{00000000-0008-0000-0800-000004000000}"/>
            </a:ext>
          </a:extLst>
        </xdr:cNvPr>
        <xdr:cNvSpPr txBox="1">
          <a:spLocks noChangeArrowheads="1"/>
        </xdr:cNvSpPr>
      </xdr:nvSpPr>
      <xdr:spPr bwMode="auto">
        <a:xfrm>
          <a:off x="0" y="0"/>
          <a:ext cx="6858000" cy="195262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pédagogiques</a:t>
          </a:r>
        </a:p>
      </xdr:txBody>
    </xdr:sp>
    <xdr:clientData/>
  </xdr:twoCellAnchor>
  <xdr:twoCellAnchor editAs="oneCell">
    <xdr:from>
      <xdr:col>3</xdr:col>
      <xdr:colOff>914400</xdr:colOff>
      <xdr:row>0</xdr:row>
      <xdr:rowOff>419100</xdr:rowOff>
    </xdr:from>
    <xdr:to>
      <xdr:col>5</xdr:col>
      <xdr:colOff>986790</xdr:colOff>
      <xdr:row>0</xdr:row>
      <xdr:rowOff>1123950</xdr:rowOff>
    </xdr:to>
    <xdr:pic>
      <xdr:nvPicPr>
        <xdr:cNvPr id="2" name="Image 1">
          <a:extLst>
            <a:ext uri="{FF2B5EF4-FFF2-40B4-BE49-F238E27FC236}">
              <a16:creationId xmlns:a16="http://schemas.microsoft.com/office/drawing/2014/main" id="{080A0EA9-7D66-4407-8276-349BEAE361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8675" y="419100"/>
          <a:ext cx="2167890" cy="704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0</xdr:colOff>
      <xdr:row>1</xdr:row>
      <xdr:rowOff>0</xdr:rowOff>
    </xdr:to>
    <xdr:sp macro="" textlink="" fLocksText="0">
      <xdr:nvSpPr>
        <xdr:cNvPr id="4" name="Text Box 8">
          <a:extLst>
            <a:ext uri="{FF2B5EF4-FFF2-40B4-BE49-F238E27FC236}">
              <a16:creationId xmlns:a16="http://schemas.microsoft.com/office/drawing/2014/main" id="{00000000-0008-0000-0900-000004000000}"/>
            </a:ext>
          </a:extLst>
        </xdr:cNvPr>
        <xdr:cNvSpPr txBox="1">
          <a:spLocks noChangeArrowheads="1"/>
        </xdr:cNvSpPr>
      </xdr:nvSpPr>
      <xdr:spPr bwMode="auto">
        <a:xfrm>
          <a:off x="0" y="19051"/>
          <a:ext cx="7467600" cy="1123949"/>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Répartition financière</a:t>
          </a:r>
        </a:p>
      </xdr:txBody>
    </xdr:sp>
    <xdr:clientData/>
  </xdr:twoCellAnchor>
  <xdr:twoCellAnchor editAs="oneCell">
    <xdr:from>
      <xdr:col>4</xdr:col>
      <xdr:colOff>685800</xdr:colOff>
      <xdr:row>0</xdr:row>
      <xdr:rowOff>419100</xdr:rowOff>
    </xdr:from>
    <xdr:to>
      <xdr:col>6</xdr:col>
      <xdr:colOff>1024890</xdr:colOff>
      <xdr:row>0</xdr:row>
      <xdr:rowOff>1123950</xdr:rowOff>
    </xdr:to>
    <xdr:pic>
      <xdr:nvPicPr>
        <xdr:cNvPr id="5" name="Imag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0" y="419100"/>
          <a:ext cx="216789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19051</xdr:rowOff>
    </xdr:from>
    <xdr:to>
      <xdr:col>6</xdr:col>
      <xdr:colOff>0</xdr:colOff>
      <xdr:row>1</xdr:row>
      <xdr:rowOff>9525</xdr:rowOff>
    </xdr:to>
    <xdr:sp macro="" textlink="" fLocksText="0">
      <xdr:nvSpPr>
        <xdr:cNvPr id="8" name="Text Box 8">
          <a:extLst>
            <a:ext uri="{FF2B5EF4-FFF2-40B4-BE49-F238E27FC236}">
              <a16:creationId xmlns:a16="http://schemas.microsoft.com/office/drawing/2014/main" id="{5B575391-8D19-4696-841E-5C7DA99A69F5}"/>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r>
            <a:rPr lang="fr-FR" sz="2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Commission Jeudi 03 juillet 2025</a:t>
          </a:r>
        </a:p>
        <a:p>
          <a:pPr algn="l" rtl="0">
            <a:defRPr sz="1000"/>
          </a:pP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 compléter et à retourner </a:t>
          </a:r>
          <a:r>
            <a:rPr lang="fr-FR" sz="2000" b="1" i="0" u="sng"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exclusivement</a:t>
          </a: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à : </a:t>
          </a:r>
          <a:r>
            <a:rPr lang="fr-FR" sz="3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aquitaine@anfh.fr</a:t>
          </a:r>
        </a:p>
        <a:p>
          <a:pPr algn="l" rtl="0">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avant le</a:t>
          </a: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26 mai 2025</a:t>
          </a: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4</xdr:col>
      <xdr:colOff>66675</xdr:colOff>
      <xdr:row>0</xdr:row>
      <xdr:rowOff>1200150</xdr:rowOff>
    </xdr:from>
    <xdr:to>
      <xdr:col>5</xdr:col>
      <xdr:colOff>1320165</xdr:colOff>
      <xdr:row>0</xdr:row>
      <xdr:rowOff>1905000</xdr:rowOff>
    </xdr:to>
    <xdr:pic>
      <xdr:nvPicPr>
        <xdr:cNvPr id="9" name="Image 8">
          <a:extLst>
            <a:ext uri="{FF2B5EF4-FFF2-40B4-BE49-F238E27FC236}">
              <a16:creationId xmlns:a16="http://schemas.microsoft.com/office/drawing/2014/main" id="{DD95010C-D3D1-4322-B16D-E02388A8BC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1200150"/>
          <a:ext cx="2167890"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1295400</xdr:colOff>
      <xdr:row>0</xdr:row>
      <xdr:rowOff>1971675</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38950" cy="1971675"/>
        </a:xfrm>
        <a:prstGeom prst="rect">
          <a:avLst/>
        </a:prstGeom>
        <a:noFill/>
        <a:ln>
          <a:noFill/>
        </a:ln>
      </xdr:spPr>
    </xdr:pic>
    <xdr:clientData/>
  </xdr:twoCellAnchor>
  <xdr:twoCellAnchor>
    <xdr:from>
      <xdr:col>0</xdr:col>
      <xdr:colOff>0</xdr:colOff>
      <xdr:row>0</xdr:row>
      <xdr:rowOff>0</xdr:rowOff>
    </xdr:from>
    <xdr:to>
      <xdr:col>6</xdr:col>
      <xdr:colOff>0</xdr:colOff>
      <xdr:row>0</xdr:row>
      <xdr:rowOff>9525</xdr:rowOff>
    </xdr:to>
    <xdr:sp macro="" textlink="" fLocksText="0">
      <xdr:nvSpPr>
        <xdr:cNvPr id="3" name="Text Box 8">
          <a:extLst>
            <a:ext uri="{FF2B5EF4-FFF2-40B4-BE49-F238E27FC236}">
              <a16:creationId xmlns:a16="http://schemas.microsoft.com/office/drawing/2014/main" id="{00000000-0008-0000-0200-000003000000}"/>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2">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720090</xdr:colOff>
      <xdr:row>0</xdr:row>
      <xdr:rowOff>704850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2167890"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15240</xdr:colOff>
      <xdr:row>1</xdr:row>
      <xdr:rowOff>0</xdr:rowOff>
    </xdr:to>
    <xdr:sp macro="" textlink="" fLocksText="0">
      <xdr:nvSpPr>
        <xdr:cNvPr id="2" name="Text Box 8">
          <a:extLst>
            <a:ext uri="{FF2B5EF4-FFF2-40B4-BE49-F238E27FC236}">
              <a16:creationId xmlns:a16="http://schemas.microsoft.com/office/drawing/2014/main" id="{EA104B46-492A-4BE0-9943-65937D740517}"/>
            </a:ext>
          </a:extLst>
        </xdr:cNvPr>
        <xdr:cNvSpPr txBox="1">
          <a:spLocks noChangeArrowheads="1"/>
        </xdr:cNvSpPr>
      </xdr:nvSpPr>
      <xdr:spPr bwMode="auto">
        <a:xfrm>
          <a:off x="0" y="0"/>
          <a:ext cx="9745980" cy="1310640"/>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Forfait mensuel dans un objectif de simplifier et d’alléger la charge de gestion des établissements.</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2</xdr:col>
      <xdr:colOff>66675</xdr:colOff>
      <xdr:row>0</xdr:row>
      <xdr:rowOff>411727</xdr:rowOff>
    </xdr:to>
    <xdr:pic>
      <xdr:nvPicPr>
        <xdr:cNvPr id="3" name="Image 2">
          <a:extLst>
            <a:ext uri="{FF2B5EF4-FFF2-40B4-BE49-F238E27FC236}">
              <a16:creationId xmlns:a16="http://schemas.microsoft.com/office/drawing/2014/main" id="{791C023D-981A-44B9-BD3D-2048B5E4EF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295400" cy="4117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5" name="Text Box 8">
          <a:extLst>
            <a:ext uri="{FF2B5EF4-FFF2-40B4-BE49-F238E27FC236}">
              <a16:creationId xmlns:a16="http://schemas.microsoft.com/office/drawing/2014/main" id="{00000000-0008-0000-0300-000005000000}"/>
            </a:ext>
          </a:extLst>
        </xdr:cNvPr>
        <xdr:cNvSpPr txBox="1">
          <a:spLocks noChangeArrowheads="1"/>
        </xdr:cNvSpPr>
      </xdr:nvSpPr>
      <xdr:spPr bwMode="auto">
        <a:xfrm>
          <a:off x="0" y="19051"/>
          <a:ext cx="9591674"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FD8EC554-8FF3-41EF-BA78-33F31FA0081B}"/>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28AAEF9E-3F14-4379-8E0B-1AB790754B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B46AD997-A65D-4495-802E-F875CDE24F3F}"/>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5ED94703-351E-46F9-A512-9E89442583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EA35D33A-30D3-412E-AC6F-E46D3EA9F194}"/>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A8918C52-AADD-44C6-87E7-3367C8AC95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19050</xdr:colOff>
      <xdr:row>0</xdr:row>
      <xdr:rowOff>1514475</xdr:rowOff>
    </xdr:to>
    <xdr:sp macro="" textlink="" fLocksText="0">
      <xdr:nvSpPr>
        <xdr:cNvPr id="2" name="Text Box 8">
          <a:extLst>
            <a:ext uri="{FF2B5EF4-FFF2-40B4-BE49-F238E27FC236}">
              <a16:creationId xmlns:a16="http://schemas.microsoft.com/office/drawing/2014/main" id="{00000000-0008-0000-0700-000002000000}"/>
            </a:ext>
          </a:extLst>
        </xdr:cNvPr>
        <xdr:cNvSpPr txBox="1">
          <a:spLocks noChangeArrowheads="1"/>
        </xdr:cNvSpPr>
      </xdr:nvSpPr>
      <xdr:spPr bwMode="auto">
        <a:xfrm>
          <a:off x="0" y="0"/>
          <a:ext cx="6791325" cy="151447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traitement</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7</xdr:col>
      <xdr:colOff>361950</xdr:colOff>
      <xdr:row>0</xdr:row>
      <xdr:rowOff>371475</xdr:rowOff>
    </xdr:from>
    <xdr:to>
      <xdr:col>10</xdr:col>
      <xdr:colOff>603885</xdr:colOff>
      <xdr:row>0</xdr:row>
      <xdr:rowOff>1104900</xdr:rowOff>
    </xdr:to>
    <xdr:pic>
      <xdr:nvPicPr>
        <xdr:cNvPr id="4" name="Image 3">
          <a:extLst>
            <a:ext uri="{FF2B5EF4-FFF2-40B4-BE49-F238E27FC236}">
              <a16:creationId xmlns:a16="http://schemas.microsoft.com/office/drawing/2014/main" id="{58590D26-9EFA-46B3-BFE6-7CCB016021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05350" y="371475"/>
          <a:ext cx="2295525" cy="733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quitaine@anfh.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J87"/>
  <sheetViews>
    <sheetView topLeftCell="B1" zoomScaleNormal="100" workbookViewId="0">
      <selection activeCell="E16" sqref="E16"/>
    </sheetView>
  </sheetViews>
  <sheetFormatPr baseColWidth="10" defaultColWidth="11.44140625" defaultRowHeight="13.8"/>
  <cols>
    <col min="1" max="1" width="10.77734375" style="9" customWidth="1"/>
    <col min="2" max="2" width="56.77734375" style="9" customWidth="1"/>
    <col min="3" max="4" width="19.77734375" style="9" customWidth="1"/>
    <col min="5" max="5" width="73.5546875" style="13" customWidth="1"/>
    <col min="6" max="6" width="10.77734375" style="10" customWidth="1"/>
    <col min="7" max="7" width="20.77734375" style="10" bestFit="1" customWidth="1"/>
    <col min="8" max="8" width="122" style="10" bestFit="1" customWidth="1"/>
    <col min="9" max="9" width="11.44140625" style="9"/>
    <col min="10" max="10" width="11.44140625" style="5"/>
    <col min="11" max="16384" width="11.44140625" style="9"/>
  </cols>
  <sheetData>
    <row r="1" spans="1:10" s="180" customFormat="1" ht="120" customHeight="1">
      <c r="A1" s="179"/>
      <c r="E1" s="135"/>
      <c r="F1" s="181"/>
      <c r="G1" s="181"/>
      <c r="H1" s="181"/>
      <c r="J1" s="182"/>
    </row>
    <row r="2" spans="1:10" s="184" customFormat="1" ht="35.549999999999997" customHeight="1">
      <c r="A2" s="483" t="s">
        <v>367</v>
      </c>
      <c r="B2" s="483"/>
      <c r="C2" s="483"/>
      <c r="D2" s="483"/>
      <c r="E2" s="176"/>
      <c r="F2" s="183"/>
      <c r="G2" s="183"/>
      <c r="H2" s="183"/>
      <c r="J2" s="185"/>
    </row>
    <row r="3" spans="1:10" s="311" customFormat="1" ht="48.6" customHeight="1">
      <c r="A3" s="473" t="s">
        <v>451</v>
      </c>
      <c r="B3" s="473"/>
      <c r="C3" s="473"/>
      <c r="D3" s="473"/>
      <c r="E3" s="309"/>
      <c r="F3" s="310"/>
      <c r="G3" s="310"/>
      <c r="H3" s="310"/>
      <c r="J3" s="312"/>
    </row>
    <row r="4" spans="1:10" s="311" customFormat="1" ht="17.55" customHeight="1">
      <c r="A4" s="473" t="s">
        <v>449</v>
      </c>
      <c r="B4" s="473"/>
      <c r="C4" s="473"/>
      <c r="D4" s="473"/>
      <c r="E4" s="309"/>
      <c r="F4" s="310"/>
      <c r="G4" s="310"/>
      <c r="H4" s="310"/>
      <c r="J4" s="312"/>
    </row>
    <row r="5" spans="1:10" s="311" customFormat="1" ht="17.55" customHeight="1">
      <c r="A5" s="472" t="s">
        <v>452</v>
      </c>
      <c r="B5" s="472"/>
      <c r="C5" s="472"/>
      <c r="D5" s="472"/>
      <c r="E5" s="309"/>
      <c r="F5" s="310"/>
      <c r="G5" s="310"/>
      <c r="H5" s="310"/>
      <c r="J5" s="312"/>
    </row>
    <row r="6" spans="1:10" s="311" customFormat="1" ht="17.55" customHeight="1">
      <c r="A6" s="472" t="s">
        <v>453</v>
      </c>
      <c r="B6" s="472"/>
      <c r="C6" s="472"/>
      <c r="D6" s="472"/>
      <c r="E6" s="309"/>
      <c r="F6" s="310"/>
      <c r="G6" s="310"/>
      <c r="H6" s="310"/>
      <c r="J6" s="312"/>
    </row>
    <row r="7" spans="1:10" s="311" customFormat="1" ht="17.55" customHeight="1">
      <c r="A7" s="472" t="s">
        <v>454</v>
      </c>
      <c r="B7" s="472"/>
      <c r="C7" s="472"/>
      <c r="D7" s="472"/>
      <c r="E7" s="309"/>
      <c r="F7" s="310"/>
      <c r="G7" s="310"/>
      <c r="H7" s="310"/>
      <c r="J7" s="312"/>
    </row>
    <row r="8" spans="1:10" s="311" customFormat="1" ht="17.55" customHeight="1">
      <c r="A8" s="472" t="s">
        <v>455</v>
      </c>
      <c r="B8" s="472"/>
      <c r="C8" s="472"/>
      <c r="D8" s="472"/>
      <c r="E8" s="309"/>
      <c r="F8" s="310"/>
      <c r="G8" s="310"/>
      <c r="H8" s="310"/>
      <c r="J8" s="312"/>
    </row>
    <row r="9" spans="1:10" s="311" customFormat="1" ht="17.55" customHeight="1">
      <c r="A9" s="478"/>
      <c r="B9" s="478"/>
      <c r="C9" s="478"/>
      <c r="D9" s="478"/>
      <c r="E9" s="309"/>
      <c r="F9" s="310"/>
      <c r="G9" s="310"/>
      <c r="H9" s="310"/>
      <c r="J9" s="312"/>
    </row>
    <row r="10" spans="1:10" s="329" customFormat="1" ht="35.549999999999997" customHeight="1">
      <c r="A10" s="481" t="s">
        <v>468</v>
      </c>
      <c r="B10" s="481"/>
      <c r="C10" s="481"/>
      <c r="D10" s="481"/>
      <c r="E10" s="274"/>
      <c r="F10" s="328"/>
      <c r="G10" s="328"/>
      <c r="H10" s="328"/>
      <c r="J10" s="330"/>
    </row>
    <row r="11" spans="1:10" s="329" customFormat="1" ht="35.549999999999997" customHeight="1">
      <c r="A11" s="482" t="s">
        <v>530</v>
      </c>
      <c r="B11" s="482"/>
      <c r="C11" s="482"/>
      <c r="D11" s="482"/>
      <c r="E11" s="314"/>
      <c r="F11" s="328"/>
      <c r="G11" s="328"/>
      <c r="H11" s="328"/>
      <c r="J11" s="330"/>
    </row>
    <row r="12" spans="1:10" s="329" customFormat="1" ht="37.35" customHeight="1">
      <c r="A12" s="482" t="s">
        <v>531</v>
      </c>
      <c r="B12" s="482"/>
      <c r="C12" s="482"/>
      <c r="D12" s="482"/>
      <c r="E12" s="314"/>
      <c r="F12" s="328"/>
      <c r="G12" s="328"/>
      <c r="H12" s="328"/>
      <c r="J12" s="330"/>
    </row>
    <row r="13" spans="1:10" s="325" customFormat="1" ht="35.4">
      <c r="A13" s="479" t="s">
        <v>478</v>
      </c>
      <c r="B13" s="480"/>
      <c r="C13" s="480"/>
      <c r="D13" s="480"/>
      <c r="E13" s="324"/>
      <c r="I13" s="326"/>
      <c r="J13" s="327"/>
    </row>
    <row r="14" spans="1:10" s="325" customFormat="1" ht="17.399999999999999">
      <c r="A14" s="418"/>
      <c r="B14" s="35"/>
      <c r="C14" s="35"/>
      <c r="D14" s="35"/>
      <c r="E14" s="324"/>
      <c r="I14" s="326"/>
      <c r="J14" s="327"/>
    </row>
    <row r="15" spans="1:10" s="187" customFormat="1" ht="35.4">
      <c r="A15" s="481" t="s">
        <v>508</v>
      </c>
      <c r="B15" s="481"/>
      <c r="C15" s="481"/>
      <c r="D15" s="481"/>
      <c r="E15" s="186"/>
      <c r="I15" s="188"/>
      <c r="J15" s="189"/>
    </row>
    <row r="16" spans="1:10" s="187" customFormat="1" ht="17.399999999999999">
      <c r="A16" s="477" t="s">
        <v>457</v>
      </c>
      <c r="B16" s="495"/>
      <c r="C16" s="495"/>
      <c r="D16" s="495"/>
      <c r="E16" s="186"/>
      <c r="I16" s="188"/>
      <c r="J16" s="189"/>
    </row>
    <row r="17" spans="1:10" s="187" customFormat="1" ht="17.399999999999999">
      <c r="A17" s="475" t="s">
        <v>507</v>
      </c>
      <c r="B17" s="475"/>
      <c r="C17" s="475"/>
      <c r="D17" s="475"/>
      <c r="E17" s="186"/>
      <c r="I17" s="188"/>
      <c r="J17" s="189"/>
    </row>
    <row r="18" spans="1:10" s="187" customFormat="1" ht="17.399999999999999">
      <c r="A18" s="475" t="s">
        <v>511</v>
      </c>
      <c r="B18" s="475"/>
      <c r="C18" s="475"/>
      <c r="D18" s="475"/>
      <c r="E18" s="186"/>
      <c r="I18" s="188"/>
      <c r="J18" s="189"/>
    </row>
    <row r="19" spans="1:10" s="187" customFormat="1" ht="16.2">
      <c r="A19" s="496" t="s">
        <v>532</v>
      </c>
      <c r="B19" s="496"/>
      <c r="C19" s="496"/>
      <c r="D19" s="496"/>
      <c r="E19" s="186"/>
      <c r="I19" s="188"/>
      <c r="J19" s="189"/>
    </row>
    <row r="20" spans="1:10" s="187" customFormat="1" ht="17.399999999999999">
      <c r="A20" s="475" t="s">
        <v>512</v>
      </c>
      <c r="B20" s="475"/>
      <c r="C20" s="475"/>
      <c r="D20" s="475"/>
      <c r="E20" s="186"/>
      <c r="I20" s="188"/>
      <c r="J20" s="189"/>
    </row>
    <row r="21" spans="1:10" s="187" customFormat="1" ht="13.05" customHeight="1">
      <c r="A21" s="315"/>
      <c r="B21" s="315"/>
      <c r="C21" s="315"/>
      <c r="D21" s="315"/>
      <c r="E21" s="186"/>
      <c r="I21" s="188"/>
      <c r="J21" s="189"/>
    </row>
    <row r="22" spans="1:10" s="187" customFormat="1" ht="17.399999999999999">
      <c r="A22" s="476" t="s">
        <v>509</v>
      </c>
      <c r="B22" s="477"/>
      <c r="C22" s="477"/>
      <c r="D22" s="477"/>
      <c r="E22" s="186"/>
      <c r="I22" s="188"/>
      <c r="J22" s="189"/>
    </row>
    <row r="23" spans="1:10" s="187" customFormat="1" ht="17.399999999999999">
      <c r="A23" s="474" t="s">
        <v>510</v>
      </c>
      <c r="B23" s="474"/>
      <c r="C23" s="474"/>
      <c r="D23" s="474"/>
      <c r="E23" s="186"/>
      <c r="I23" s="188"/>
      <c r="J23" s="189"/>
    </row>
    <row r="24" spans="1:10" s="187" customFormat="1" ht="17.399999999999999">
      <c r="A24" s="474" t="s">
        <v>350</v>
      </c>
      <c r="B24" s="474"/>
      <c r="C24" s="474"/>
      <c r="D24" s="474"/>
      <c r="E24" s="186"/>
      <c r="I24" s="188"/>
      <c r="J24" s="189"/>
    </row>
    <row r="25" spans="1:10" s="187" customFormat="1" ht="17.399999999999999">
      <c r="A25" s="474" t="s">
        <v>351</v>
      </c>
      <c r="B25" s="474"/>
      <c r="C25" s="474"/>
      <c r="D25" s="474"/>
      <c r="E25" s="186"/>
      <c r="I25" s="188"/>
      <c r="J25" s="189"/>
    </row>
    <row r="26" spans="1:10" s="187" customFormat="1" ht="17.399999999999999">
      <c r="A26" s="474" t="s">
        <v>513</v>
      </c>
      <c r="B26" s="474"/>
      <c r="C26" s="474"/>
      <c r="D26" s="474"/>
      <c r="E26" s="186"/>
      <c r="I26" s="188"/>
      <c r="J26" s="189"/>
    </row>
    <row r="27" spans="1:10" s="187" customFormat="1" ht="17.399999999999999">
      <c r="A27" s="474" t="s">
        <v>352</v>
      </c>
      <c r="B27" s="474"/>
      <c r="C27" s="474"/>
      <c r="D27" s="474"/>
      <c r="E27" s="186"/>
      <c r="I27" s="188"/>
      <c r="J27" s="189"/>
    </row>
    <row r="28" spans="1:10" s="187" customFormat="1" ht="13.05" customHeight="1">
      <c r="A28" s="316"/>
      <c r="B28" s="316"/>
      <c r="C28" s="316"/>
      <c r="D28" s="316"/>
      <c r="E28" s="186"/>
      <c r="I28" s="188"/>
      <c r="J28" s="189"/>
    </row>
    <row r="29" spans="1:10" s="187" customFormat="1" ht="17.399999999999999">
      <c r="A29" s="476" t="s">
        <v>533</v>
      </c>
      <c r="B29" s="477"/>
      <c r="C29" s="477"/>
      <c r="D29" s="477"/>
      <c r="E29" s="186"/>
      <c r="I29" s="188"/>
      <c r="J29" s="189"/>
    </row>
    <row r="30" spans="1:10" s="187" customFormat="1" ht="16.2">
      <c r="A30" s="494" t="s">
        <v>515</v>
      </c>
      <c r="B30" s="494"/>
      <c r="C30" s="494"/>
      <c r="D30" s="494"/>
      <c r="E30" s="186"/>
      <c r="I30" s="188"/>
      <c r="J30" s="189"/>
    </row>
    <row r="31" spans="1:10" s="187" customFormat="1" ht="16.2">
      <c r="A31" s="499" t="s">
        <v>534</v>
      </c>
      <c r="B31" s="499"/>
      <c r="C31" s="499"/>
      <c r="D31" s="499"/>
      <c r="E31" s="186"/>
      <c r="I31" s="188"/>
      <c r="J31" s="189"/>
    </row>
    <row r="32" spans="1:10" s="187" customFormat="1" ht="16.2">
      <c r="A32" s="499" t="s">
        <v>535</v>
      </c>
      <c r="B32" s="499"/>
      <c r="C32" s="499"/>
      <c r="D32" s="499"/>
      <c r="E32" s="186"/>
      <c r="I32" s="188"/>
      <c r="J32" s="189"/>
    </row>
    <row r="33" spans="1:10" s="187" customFormat="1" ht="35.4">
      <c r="A33" s="481" t="s">
        <v>366</v>
      </c>
      <c r="B33" s="481"/>
      <c r="C33" s="481"/>
      <c r="D33" s="481"/>
      <c r="E33" s="186"/>
      <c r="I33" s="188"/>
      <c r="J33" s="189"/>
    </row>
    <row r="34" spans="1:10" s="187" customFormat="1" ht="18" customHeight="1">
      <c r="A34" s="490" t="s">
        <v>354</v>
      </c>
      <c r="B34" s="491"/>
      <c r="C34" s="501" t="s">
        <v>353</v>
      </c>
      <c r="D34" s="497" t="s">
        <v>514</v>
      </c>
      <c r="E34" s="186"/>
      <c r="I34" s="188"/>
      <c r="J34" s="189"/>
    </row>
    <row r="35" spans="1:10" s="187" customFormat="1" ht="18" customHeight="1">
      <c r="A35" s="492"/>
      <c r="B35" s="493"/>
      <c r="C35" s="502"/>
      <c r="D35" s="498"/>
      <c r="E35" s="186"/>
      <c r="I35" s="188"/>
      <c r="J35" s="189"/>
    </row>
    <row r="36" spans="1:10" s="187" customFormat="1" ht="17.399999999999999">
      <c r="A36" s="488" t="s">
        <v>331</v>
      </c>
      <c r="B36" s="488"/>
      <c r="C36" s="462">
        <v>3050</v>
      </c>
      <c r="D36" s="465">
        <v>20.11</v>
      </c>
      <c r="E36" s="186"/>
      <c r="I36" s="188"/>
      <c r="J36" s="189"/>
    </row>
    <row r="37" spans="1:10" s="187" customFormat="1" ht="17.399999999999999">
      <c r="A37" s="500" t="s">
        <v>332</v>
      </c>
      <c r="B37" s="500"/>
      <c r="C37" s="463"/>
      <c r="D37" s="466"/>
      <c r="E37" s="186"/>
      <c r="I37" s="188"/>
      <c r="J37" s="189"/>
    </row>
    <row r="38" spans="1:10" s="187" customFormat="1" ht="17.399999999999999">
      <c r="A38" s="489" t="s">
        <v>355</v>
      </c>
      <c r="B38" s="489"/>
      <c r="C38" s="464"/>
      <c r="D38" s="467"/>
      <c r="E38" s="186"/>
      <c r="I38" s="188"/>
      <c r="J38" s="189"/>
    </row>
    <row r="39" spans="1:10" s="187" customFormat="1" ht="17.399999999999999">
      <c r="A39" s="318" t="s">
        <v>356</v>
      </c>
      <c r="B39" s="318"/>
      <c r="C39" s="456">
        <v>3450</v>
      </c>
      <c r="D39" s="459">
        <v>22.75</v>
      </c>
      <c r="E39" s="186"/>
      <c r="I39" s="188"/>
      <c r="J39" s="189"/>
    </row>
    <row r="40" spans="1:10" s="187" customFormat="1" ht="17.399999999999999">
      <c r="A40" s="319" t="s">
        <v>357</v>
      </c>
      <c r="B40" s="319"/>
      <c r="C40" s="457"/>
      <c r="D40" s="460"/>
      <c r="E40" s="186"/>
      <c r="I40" s="188"/>
      <c r="J40" s="189"/>
    </row>
    <row r="41" spans="1:10" s="187" customFormat="1" ht="17.399999999999999">
      <c r="A41" s="319" t="s">
        <v>435</v>
      </c>
      <c r="B41" s="319"/>
      <c r="C41" s="457"/>
      <c r="D41" s="460"/>
      <c r="E41" s="186"/>
      <c r="I41" s="188"/>
      <c r="J41" s="189"/>
    </row>
    <row r="42" spans="1:10" s="187" customFormat="1" ht="17.399999999999999">
      <c r="A42" s="319" t="s">
        <v>358</v>
      </c>
      <c r="B42" s="319"/>
      <c r="C42" s="457"/>
      <c r="D42" s="460"/>
      <c r="E42" s="186"/>
      <c r="I42" s="188"/>
      <c r="J42" s="189"/>
    </row>
    <row r="43" spans="1:10" s="10" customFormat="1" ht="17.399999999999999">
      <c r="A43" s="320" t="s">
        <v>333</v>
      </c>
      <c r="B43" s="320"/>
      <c r="C43" s="458"/>
      <c r="D43" s="461"/>
      <c r="E43" s="90"/>
      <c r="I43" s="9"/>
      <c r="J43" s="5"/>
    </row>
    <row r="44" spans="1:10" s="10" customFormat="1" ht="17.399999999999999">
      <c r="A44" s="321" t="s">
        <v>334</v>
      </c>
      <c r="B44" s="321"/>
      <c r="C44" s="462">
        <v>3650</v>
      </c>
      <c r="D44" s="465">
        <v>24.07</v>
      </c>
      <c r="E44" s="90"/>
      <c r="I44" s="9"/>
      <c r="J44" s="5"/>
    </row>
    <row r="45" spans="1:10" s="10" customFormat="1" ht="17.399999999999999">
      <c r="A45" s="322" t="s">
        <v>359</v>
      </c>
      <c r="B45" s="322"/>
      <c r="C45" s="463"/>
      <c r="D45" s="466"/>
      <c r="E45" s="90"/>
      <c r="I45" s="9"/>
      <c r="J45" s="5"/>
    </row>
    <row r="46" spans="1:10" s="10" customFormat="1" ht="17.399999999999999">
      <c r="A46" s="323" t="s">
        <v>360</v>
      </c>
      <c r="B46" s="323"/>
      <c r="C46" s="464"/>
      <c r="D46" s="467"/>
      <c r="E46" s="90"/>
      <c r="I46" s="9"/>
      <c r="J46" s="5"/>
    </row>
    <row r="47" spans="1:10" s="10" customFormat="1" ht="17.399999999999999">
      <c r="A47" s="318" t="s">
        <v>335</v>
      </c>
      <c r="B47" s="318"/>
      <c r="C47" s="456">
        <v>3960</v>
      </c>
      <c r="D47" s="459">
        <v>26.11</v>
      </c>
      <c r="E47" s="90"/>
      <c r="I47" s="9"/>
      <c r="J47" s="5"/>
    </row>
    <row r="48" spans="1:10" s="10" customFormat="1" ht="17.399999999999999">
      <c r="A48" s="319" t="s">
        <v>361</v>
      </c>
      <c r="B48" s="319"/>
      <c r="C48" s="458"/>
      <c r="D48" s="461"/>
      <c r="E48" s="90"/>
      <c r="I48" s="9"/>
      <c r="J48" s="5"/>
    </row>
    <row r="49" spans="1:10" s="10" customFormat="1" ht="17.399999999999999">
      <c r="A49" s="486" t="s">
        <v>362</v>
      </c>
      <c r="B49" s="487"/>
      <c r="C49" s="420">
        <v>4360</v>
      </c>
      <c r="D49" s="423">
        <v>28.75</v>
      </c>
      <c r="E49" s="90"/>
      <c r="I49" s="9"/>
      <c r="J49" s="5"/>
    </row>
    <row r="50" spans="1:10" s="10" customFormat="1" ht="17.399999999999999">
      <c r="A50" s="484" t="s">
        <v>363</v>
      </c>
      <c r="B50" s="485"/>
      <c r="C50" s="419">
        <v>3650</v>
      </c>
      <c r="D50" s="424">
        <v>24.07</v>
      </c>
      <c r="E50" s="90"/>
      <c r="I50" s="9"/>
      <c r="J50" s="5"/>
    </row>
    <row r="51" spans="1:10" s="10" customFormat="1" ht="17.399999999999999">
      <c r="A51" s="486" t="s">
        <v>364</v>
      </c>
      <c r="B51" s="487"/>
      <c r="C51" s="420">
        <v>3050</v>
      </c>
      <c r="D51" s="423">
        <v>20.11</v>
      </c>
      <c r="E51" s="90"/>
      <c r="I51" s="9"/>
      <c r="J51" s="5"/>
    </row>
    <row r="52" spans="1:10" s="10" customFormat="1" ht="17.399999999999999">
      <c r="A52" s="317"/>
      <c r="B52" s="317"/>
      <c r="C52" s="425"/>
      <c r="D52" s="426"/>
      <c r="E52" s="90"/>
      <c r="I52" s="9"/>
      <c r="J52" s="5"/>
    </row>
    <row r="53" spans="1:10" s="346" customFormat="1" ht="17.55" customHeight="1">
      <c r="A53" s="344"/>
      <c r="B53" s="468"/>
      <c r="C53" s="468"/>
      <c r="D53" s="468"/>
      <c r="E53" s="343"/>
      <c r="F53" s="345"/>
      <c r="G53" s="345"/>
      <c r="H53" s="345"/>
      <c r="J53" s="347"/>
    </row>
    <row r="54" spans="1:10" ht="35.4">
      <c r="A54" s="481" t="s">
        <v>456</v>
      </c>
      <c r="B54" s="481"/>
      <c r="C54" s="481"/>
      <c r="D54" s="481"/>
    </row>
    <row r="55" spans="1:10" ht="17.55" customHeight="1">
      <c r="A55" s="469" t="s">
        <v>446</v>
      </c>
      <c r="B55" s="469"/>
      <c r="C55" s="313" t="s">
        <v>305</v>
      </c>
      <c r="D55" s="35" t="s">
        <v>306</v>
      </c>
    </row>
    <row r="56" spans="1:10" ht="17.399999999999999">
      <c r="A56" s="469" t="s">
        <v>316</v>
      </c>
      <c r="B56" s="469"/>
      <c r="C56" s="331">
        <v>30000</v>
      </c>
      <c r="D56" s="332">
        <v>35000</v>
      </c>
    </row>
    <row r="57" spans="1:10" ht="17.399999999999999">
      <c r="A57" s="469" t="s">
        <v>23</v>
      </c>
      <c r="B57" s="469"/>
      <c r="C57" s="333">
        <v>41000</v>
      </c>
      <c r="D57" s="334">
        <v>49000</v>
      </c>
    </row>
    <row r="58" spans="1:10" ht="17.399999999999999">
      <c r="A58" s="469" t="s">
        <v>311</v>
      </c>
      <c r="B58" s="469"/>
      <c r="C58" s="333">
        <v>19000</v>
      </c>
      <c r="D58" s="334">
        <v>22000</v>
      </c>
    </row>
    <row r="59" spans="1:10" ht="17.399999999999999">
      <c r="A59" s="469" t="s">
        <v>19</v>
      </c>
      <c r="B59" s="469"/>
      <c r="C59" s="333">
        <v>41000</v>
      </c>
      <c r="D59" s="334">
        <v>49000</v>
      </c>
    </row>
    <row r="60" spans="1:10" ht="17.399999999999999">
      <c r="A60" s="469" t="s">
        <v>312</v>
      </c>
      <c r="B60" s="469"/>
      <c r="C60" s="333">
        <v>34000</v>
      </c>
      <c r="D60" s="334">
        <v>40000</v>
      </c>
    </row>
    <row r="61" spans="1:10" ht="17.399999999999999">
      <c r="A61" s="469" t="s">
        <v>313</v>
      </c>
      <c r="B61" s="469"/>
      <c r="C61" s="333">
        <v>85000</v>
      </c>
      <c r="D61" s="334">
        <v>102000</v>
      </c>
    </row>
    <row r="62" spans="1:10" ht="17.399999999999999">
      <c r="A62" s="469" t="s">
        <v>314</v>
      </c>
      <c r="B62" s="469"/>
      <c r="C62" s="333">
        <v>85000</v>
      </c>
      <c r="D62" s="334">
        <v>102000</v>
      </c>
    </row>
    <row r="63" spans="1:10" ht="17.399999999999999">
      <c r="A63" s="469" t="s">
        <v>315</v>
      </c>
      <c r="B63" s="469"/>
      <c r="C63" s="333">
        <v>98000</v>
      </c>
      <c r="D63" s="334">
        <v>117000</v>
      </c>
    </row>
    <row r="64" spans="1:10" ht="17.399999999999999">
      <c r="A64" s="469" t="s">
        <v>445</v>
      </c>
      <c r="B64" s="469"/>
      <c r="C64" s="335">
        <v>0.75</v>
      </c>
      <c r="D64" s="336">
        <v>0.85</v>
      </c>
    </row>
    <row r="65" spans="1:10" ht="17.399999999999999">
      <c r="A65" s="469" t="s">
        <v>447</v>
      </c>
      <c r="B65" s="469"/>
      <c r="C65" s="471" t="s">
        <v>307</v>
      </c>
      <c r="D65" s="471"/>
    </row>
    <row r="66" spans="1:10" ht="17.399999999999999">
      <c r="A66" s="469" t="s">
        <v>448</v>
      </c>
      <c r="B66" s="469"/>
      <c r="C66" s="470" t="s">
        <v>458</v>
      </c>
      <c r="D66" s="470"/>
    </row>
    <row r="67" spans="1:10" s="430" customFormat="1" ht="10.199999999999999">
      <c r="A67" s="84"/>
      <c r="B67" s="84"/>
      <c r="C67" s="427"/>
      <c r="D67" s="427"/>
      <c r="E67" s="428"/>
      <c r="F67" s="429"/>
      <c r="G67" s="429"/>
      <c r="H67" s="429"/>
      <c r="J67" s="431"/>
    </row>
    <row r="68" spans="1:10" s="430" customFormat="1" ht="10.199999999999999">
      <c r="A68" s="84"/>
      <c r="B68" s="84"/>
      <c r="C68" s="427"/>
      <c r="D68" s="427"/>
      <c r="E68" s="428"/>
      <c r="F68" s="429"/>
      <c r="G68" s="429"/>
      <c r="H68" s="429"/>
      <c r="J68" s="431"/>
    </row>
    <row r="69" spans="1:10" ht="36" customHeight="1">
      <c r="A69" s="455" t="s">
        <v>516</v>
      </c>
      <c r="B69" s="455"/>
      <c r="C69" s="455"/>
      <c r="D69" s="455"/>
    </row>
    <row r="70" spans="1:10" s="430" customFormat="1" ht="10.199999999999999">
      <c r="A70" s="84"/>
      <c r="B70" s="84"/>
      <c r="C70" s="427"/>
      <c r="D70" s="427"/>
      <c r="E70" s="428"/>
      <c r="F70" s="429"/>
      <c r="G70" s="429"/>
      <c r="H70" s="429"/>
      <c r="J70" s="431"/>
    </row>
    <row r="71" spans="1:10" ht="36" customHeight="1">
      <c r="A71" s="455" t="s">
        <v>517</v>
      </c>
      <c r="B71" s="455"/>
      <c r="C71" s="455"/>
      <c r="D71" s="455"/>
    </row>
    <row r="72" spans="1:10" s="430" customFormat="1" ht="10.199999999999999">
      <c r="A72" s="84"/>
      <c r="B72" s="84"/>
      <c r="C72" s="427"/>
      <c r="D72" s="427"/>
      <c r="E72" s="428"/>
      <c r="F72" s="429"/>
      <c r="G72" s="429"/>
      <c r="H72" s="429"/>
      <c r="J72" s="431"/>
    </row>
    <row r="73" spans="1:10" ht="36" customHeight="1">
      <c r="A73" s="455" t="s">
        <v>518</v>
      </c>
      <c r="B73" s="455"/>
      <c r="C73" s="455"/>
      <c r="D73" s="455"/>
    </row>
    <row r="74" spans="1:10" ht="17.399999999999999">
      <c r="A74" s="317"/>
      <c r="B74" s="317"/>
      <c r="C74" s="421"/>
      <c r="D74" s="421"/>
    </row>
    <row r="75" spans="1:10" ht="17.399999999999999">
      <c r="A75" s="317"/>
      <c r="B75" s="317"/>
      <c r="C75" s="421"/>
      <c r="D75" s="421"/>
    </row>
    <row r="76" spans="1:10" ht="17.399999999999999">
      <c r="A76" s="317"/>
      <c r="B76" s="317"/>
      <c r="C76" s="421"/>
      <c r="D76" s="421"/>
    </row>
    <row r="77" spans="1:10" ht="17.399999999999999">
      <c r="A77" s="317"/>
      <c r="B77" s="317"/>
      <c r="C77" s="421"/>
      <c r="D77" s="421"/>
    </row>
    <row r="78" spans="1:10" ht="17.399999999999999">
      <c r="A78" s="317"/>
      <c r="B78" s="317"/>
      <c r="C78" s="421"/>
      <c r="D78" s="421"/>
    </row>
    <row r="79" spans="1:10" ht="17.399999999999999">
      <c r="A79" s="317"/>
      <c r="B79" s="317"/>
      <c r="C79" s="421"/>
      <c r="D79" s="421"/>
    </row>
    <row r="80" spans="1:10" ht="17.399999999999999">
      <c r="A80" s="317"/>
      <c r="B80" s="317"/>
      <c r="C80" s="421"/>
      <c r="D80" s="421"/>
    </row>
    <row r="81" spans="1:4" ht="17.399999999999999">
      <c r="A81" s="317"/>
      <c r="B81" s="317"/>
      <c r="C81" s="421"/>
      <c r="D81" s="421"/>
    </row>
    <row r="82" spans="1:4" ht="17.399999999999999">
      <c r="A82" s="317"/>
      <c r="B82" s="317"/>
      <c r="C82" s="421"/>
      <c r="D82" s="421"/>
    </row>
    <row r="83" spans="1:4" ht="17.399999999999999">
      <c r="A83" s="317"/>
      <c r="B83" s="317"/>
      <c r="C83" s="421"/>
      <c r="D83" s="421"/>
    </row>
    <row r="84" spans="1:4" ht="17.399999999999999">
      <c r="A84" s="317"/>
      <c r="B84" s="317"/>
      <c r="C84" s="421"/>
      <c r="D84" s="421"/>
    </row>
    <row r="85" spans="1:4" ht="17.399999999999999">
      <c r="A85" s="317"/>
      <c r="B85" s="317"/>
      <c r="C85" s="421"/>
      <c r="D85" s="421"/>
    </row>
    <row r="86" spans="1:4" ht="17.399999999999999">
      <c r="A86" s="317"/>
      <c r="B86" s="317"/>
      <c r="C86" s="421"/>
      <c r="D86" s="421"/>
    </row>
    <row r="87" spans="1:4" ht="17.399999999999999">
      <c r="A87" s="317"/>
      <c r="B87" s="317"/>
      <c r="C87" s="421"/>
      <c r="D87" s="421"/>
    </row>
  </sheetData>
  <sheetProtection algorithmName="SHA-512" hashValue="/TScWfXmPSXMKvEqgo3ZsrWL5H3biGHnffVei0QVyUj6g9ALcCmUrvABBu/4nUtXMpdp6Zdi+fW4GSXJlrdBLA==" saltValue="APBhETFpTaWNH5lK1tz1Jw==" spinCount="100000" sheet="1" objects="1" scenarios="1"/>
  <dataConsolidate/>
  <mergeCells count="65">
    <mergeCell ref="A55:B55"/>
    <mergeCell ref="A56:B56"/>
    <mergeCell ref="A57:B57"/>
    <mergeCell ref="A25:D25"/>
    <mergeCell ref="A26:D26"/>
    <mergeCell ref="D34:D35"/>
    <mergeCell ref="D36:D38"/>
    <mergeCell ref="A31:D31"/>
    <mergeCell ref="A32:D32"/>
    <mergeCell ref="A37:B37"/>
    <mergeCell ref="A33:D33"/>
    <mergeCell ref="C36:C38"/>
    <mergeCell ref="C34:C35"/>
    <mergeCell ref="A54:D54"/>
    <mergeCell ref="A58:B58"/>
    <mergeCell ref="A62:B62"/>
    <mergeCell ref="A59:B59"/>
    <mergeCell ref="A60:B60"/>
    <mergeCell ref="A61:B61"/>
    <mergeCell ref="A2:D2"/>
    <mergeCell ref="A50:B50"/>
    <mergeCell ref="A51:B51"/>
    <mergeCell ref="A49:B49"/>
    <mergeCell ref="A36:B36"/>
    <mergeCell ref="A38:B38"/>
    <mergeCell ref="A34:B35"/>
    <mergeCell ref="A3:D3"/>
    <mergeCell ref="A29:D29"/>
    <mergeCell ref="A30:D30"/>
    <mergeCell ref="A12:D12"/>
    <mergeCell ref="A15:D15"/>
    <mergeCell ref="A16:D16"/>
    <mergeCell ref="A17:D17"/>
    <mergeCell ref="A19:D19"/>
    <mergeCell ref="A20:D20"/>
    <mergeCell ref="A5:D5"/>
    <mergeCell ref="A4:D4"/>
    <mergeCell ref="A27:D27"/>
    <mergeCell ref="A6:D6"/>
    <mergeCell ref="A7:D7"/>
    <mergeCell ref="A8:D8"/>
    <mergeCell ref="A18:D18"/>
    <mergeCell ref="A24:D24"/>
    <mergeCell ref="A22:D22"/>
    <mergeCell ref="A9:D9"/>
    <mergeCell ref="A13:D13"/>
    <mergeCell ref="A10:D10"/>
    <mergeCell ref="A11:D11"/>
    <mergeCell ref="A23:D23"/>
    <mergeCell ref="A69:D69"/>
    <mergeCell ref="A71:D71"/>
    <mergeCell ref="A73:D73"/>
    <mergeCell ref="C39:C43"/>
    <mergeCell ref="D39:D43"/>
    <mergeCell ref="C44:C46"/>
    <mergeCell ref="D44:D46"/>
    <mergeCell ref="C47:C48"/>
    <mergeCell ref="D47:D48"/>
    <mergeCell ref="B53:D53"/>
    <mergeCell ref="A66:B66"/>
    <mergeCell ref="C66:D66"/>
    <mergeCell ref="A63:B63"/>
    <mergeCell ref="A64:B64"/>
    <mergeCell ref="A65:B65"/>
    <mergeCell ref="C65:D65"/>
  </mergeCells>
  <phoneticPr fontId="52" type="noConversion"/>
  <hyperlinks>
    <hyperlink ref="A13" r:id="rId1" xr:uid="{00000000-0004-0000-0000-000000000000}"/>
  </hyperlinks>
  <printOptions horizontalCentered="1"/>
  <pageMargins left="3.937007874015748E-2" right="3.937007874015748E-2" top="0.55118110236220474" bottom="0.74803149606299213" header="0.31496062992125984" footer="0.31496062992125984"/>
  <pageSetup paperSize="9" scale="96"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tabColor theme="0" tint="-0.34998626667073579"/>
  </sheetPr>
  <dimension ref="A1:N28"/>
  <sheetViews>
    <sheetView topLeftCell="A19" zoomScale="85" zoomScaleNormal="85" workbookViewId="0">
      <selection activeCell="C9" sqref="C9"/>
    </sheetView>
  </sheetViews>
  <sheetFormatPr baseColWidth="10" defaultColWidth="11.44140625" defaultRowHeight="13.8"/>
  <cols>
    <col min="1" max="1" width="9.5546875" style="13" customWidth="1"/>
    <col min="2" max="2" width="30.5546875" style="13" customWidth="1"/>
    <col min="3" max="5" width="15.77734375" style="13" customWidth="1"/>
    <col min="6" max="6" width="15.21875" style="13" customWidth="1"/>
    <col min="7" max="7" width="11.44140625" style="168"/>
    <col min="8" max="16384" width="11.44140625" style="13"/>
  </cols>
  <sheetData>
    <row r="1" spans="1:14" ht="90" customHeight="1">
      <c r="A1" s="633"/>
      <c r="B1" s="633"/>
      <c r="C1" s="633"/>
      <c r="D1" s="633"/>
      <c r="E1" s="633"/>
      <c r="F1" s="633"/>
    </row>
    <row r="2" spans="1:14" s="91" customFormat="1" ht="18" customHeight="1">
      <c r="A2" s="680" t="str">
        <f>IF(DAPEC!A3&lt;&gt;"SELECTIONNER VOTRE ETABLISSEMENT DANS LA LISTE",DAPEC!A3,"Veuillez sélectionner votre établissement onglet DAPEC ligne 3")</f>
        <v>Veuillez sélectionner votre établissement onglet DAPEC ligne 3</v>
      </c>
      <c r="B2" s="680"/>
      <c r="C2" s="680"/>
      <c r="D2" s="680"/>
      <c r="E2" s="680"/>
      <c r="F2" s="680"/>
      <c r="G2" s="283"/>
    </row>
    <row r="3" spans="1:14" s="91" customFormat="1" ht="18" customHeight="1">
      <c r="A3" s="680" t="str">
        <f>IF(DAPEC!B11="","Veuillez renseigner le nom de l'agent onglet DAPEC ligne 9",DAPEC!B11)</f>
        <v>Veuillez renseigner le nom de l'agent onglet DAPEC ligne 9</v>
      </c>
      <c r="B3" s="680"/>
      <c r="C3" s="680"/>
      <c r="D3" s="680"/>
      <c r="E3" s="680"/>
      <c r="F3" s="680"/>
      <c r="G3" s="283"/>
    </row>
    <row r="4" spans="1:14" s="92" customFormat="1" ht="6" customHeight="1">
      <c r="A4" s="636"/>
      <c r="B4" s="636"/>
      <c r="C4" s="636"/>
      <c r="D4" s="636"/>
      <c r="E4" s="636"/>
      <c r="F4" s="636"/>
      <c r="G4" s="348"/>
    </row>
    <row r="5" spans="1:14" s="91" customFormat="1" ht="36" customHeight="1">
      <c r="A5" s="583" t="str">
        <f>IF(DAPEC!A17="SELECTIONNER L'ÉTUDE PROMOTIONNELLE DANS LA LISTE","Veuillez sélectionner l'EP onglet DAPEC ligne 18",DAPEC!A17)</f>
        <v>Veuillez sélectionner l'EP onglet DAPEC ligne 18</v>
      </c>
      <c r="B5" s="583"/>
      <c r="C5" s="583"/>
      <c r="D5" s="583"/>
      <c r="E5" s="583"/>
      <c r="F5" s="583"/>
      <c r="G5" s="283"/>
    </row>
    <row r="6" spans="1:14" s="92" customFormat="1" ht="6" customHeight="1" thickBot="1">
      <c r="A6" s="681"/>
      <c r="B6" s="681"/>
      <c r="C6" s="681"/>
      <c r="D6" s="681"/>
      <c r="E6" s="681"/>
      <c r="F6" s="681"/>
      <c r="G6" s="348"/>
    </row>
    <row r="7" spans="1:14" s="92" customFormat="1" ht="6" customHeight="1" thickTop="1" thickBot="1">
      <c r="A7" s="679"/>
      <c r="B7" s="679"/>
      <c r="C7" s="679"/>
      <c r="D7" s="679"/>
      <c r="E7" s="679"/>
      <c r="F7" s="679"/>
      <c r="G7" s="348"/>
    </row>
    <row r="8" spans="1:14" s="91" customFormat="1" ht="18" customHeight="1" thickTop="1" thickBot="1">
      <c r="A8" s="682"/>
      <c r="B8" s="683"/>
      <c r="C8" s="136" t="s">
        <v>527</v>
      </c>
      <c r="D8" s="105" t="s">
        <v>528</v>
      </c>
      <c r="E8" s="105" t="s">
        <v>529</v>
      </c>
      <c r="F8" s="106" t="s">
        <v>24</v>
      </c>
      <c r="G8" s="283"/>
    </row>
    <row r="9" spans="1:14" s="223" customFormat="1" ht="18" customHeight="1" thickTop="1">
      <c r="A9" s="661" t="s">
        <v>471</v>
      </c>
      <c r="B9" s="662"/>
      <c r="C9" s="224">
        <v>0</v>
      </c>
      <c r="D9" s="225">
        <v>0</v>
      </c>
      <c r="E9" s="225">
        <v>0</v>
      </c>
      <c r="F9" s="226">
        <f t="shared" ref="F9:F16" si="0">SUM(C9:E9)</f>
        <v>0</v>
      </c>
      <c r="G9" s="352">
        <v>0</v>
      </c>
      <c r="H9" s="353">
        <v>175</v>
      </c>
      <c r="I9" s="353">
        <v>250</v>
      </c>
      <c r="J9" s="353">
        <v>350</v>
      </c>
      <c r="K9" s="353">
        <v>555</v>
      </c>
      <c r="L9" s="353">
        <v>1354</v>
      </c>
      <c r="M9" s="353"/>
      <c r="N9" s="351"/>
    </row>
    <row r="10" spans="1:14" s="223" customFormat="1" ht="18" customHeight="1">
      <c r="A10" s="663" t="s">
        <v>472</v>
      </c>
      <c r="B10" s="664"/>
      <c r="C10" s="227">
        <v>0</v>
      </c>
      <c r="D10" s="228">
        <v>0</v>
      </c>
      <c r="E10" s="228">
        <v>0</v>
      </c>
      <c r="F10" s="229">
        <f t="shared" si="0"/>
        <v>0</v>
      </c>
      <c r="G10" s="352"/>
      <c r="H10" s="353"/>
      <c r="I10" s="353"/>
      <c r="J10" s="353"/>
      <c r="K10" s="353"/>
      <c r="L10" s="353"/>
      <c r="M10" s="353"/>
      <c r="N10" s="351"/>
    </row>
    <row r="11" spans="1:14" s="223" customFormat="1" ht="36" customHeight="1">
      <c r="A11" s="663" t="s">
        <v>253</v>
      </c>
      <c r="B11" s="664"/>
      <c r="C11" s="227">
        <v>0</v>
      </c>
      <c r="D11" s="228">
        <v>0</v>
      </c>
      <c r="E11" s="228">
        <v>0</v>
      </c>
      <c r="F11" s="229">
        <f t="shared" si="0"/>
        <v>0</v>
      </c>
      <c r="G11" s="349"/>
    </row>
    <row r="12" spans="1:14" s="223" customFormat="1" ht="18" customHeight="1">
      <c r="A12" s="671" t="s">
        <v>346</v>
      </c>
      <c r="B12" s="672"/>
      <c r="C12" s="227">
        <v>0</v>
      </c>
      <c r="D12" s="228">
        <v>0</v>
      </c>
      <c r="E12" s="228">
        <v>0</v>
      </c>
      <c r="F12" s="229">
        <f t="shared" si="0"/>
        <v>0</v>
      </c>
      <c r="G12" s="349"/>
    </row>
    <row r="13" spans="1:14" s="223" customFormat="1" ht="18" customHeight="1">
      <c r="A13" s="663" t="s">
        <v>373</v>
      </c>
      <c r="B13" s="664"/>
      <c r="C13" s="230">
        <v>0</v>
      </c>
      <c r="D13" s="231">
        <v>0</v>
      </c>
      <c r="E13" s="231">
        <v>0</v>
      </c>
      <c r="F13" s="229">
        <f t="shared" si="0"/>
        <v>0</v>
      </c>
      <c r="G13" s="349"/>
    </row>
    <row r="14" spans="1:14" s="223" customFormat="1" ht="18" customHeight="1">
      <c r="A14" s="671" t="s">
        <v>374</v>
      </c>
      <c r="B14" s="672"/>
      <c r="C14" s="230">
        <v>0</v>
      </c>
      <c r="D14" s="231">
        <v>0</v>
      </c>
      <c r="E14" s="231">
        <v>0</v>
      </c>
      <c r="F14" s="229">
        <f t="shared" si="0"/>
        <v>0</v>
      </c>
      <c r="G14" s="349"/>
    </row>
    <row r="15" spans="1:14" s="223" customFormat="1" ht="18" customHeight="1">
      <c r="A15" s="673" t="s">
        <v>375</v>
      </c>
      <c r="B15" s="674"/>
      <c r="C15" s="237">
        <v>0</v>
      </c>
      <c r="D15" s="238">
        <v>0</v>
      </c>
      <c r="E15" s="238">
        <v>0</v>
      </c>
      <c r="F15" s="239">
        <f t="shared" si="0"/>
        <v>0</v>
      </c>
      <c r="G15" s="349"/>
    </row>
    <row r="16" spans="1:14" s="223" customFormat="1" ht="18" customHeight="1" thickBot="1">
      <c r="A16" s="669" t="s">
        <v>376</v>
      </c>
      <c r="B16" s="670"/>
      <c r="C16" s="232">
        <v>0</v>
      </c>
      <c r="D16" s="233">
        <v>0</v>
      </c>
      <c r="E16" s="233">
        <v>0</v>
      </c>
      <c r="F16" s="234">
        <f t="shared" si="0"/>
        <v>0</v>
      </c>
      <c r="G16" s="349"/>
    </row>
    <row r="17" spans="1:7" s="223" customFormat="1" ht="18" customHeight="1" thickTop="1" thickBot="1">
      <c r="A17" s="665" t="s">
        <v>162</v>
      </c>
      <c r="B17" s="666"/>
      <c r="C17" s="235">
        <f>SUM(C9:C16)</f>
        <v>0</v>
      </c>
      <c r="D17" s="235">
        <f t="shared" ref="D17:F17" si="1">SUM(D9:D16)</f>
        <v>0</v>
      </c>
      <c r="E17" s="235">
        <f t="shared" si="1"/>
        <v>0</v>
      </c>
      <c r="F17" s="236">
        <f t="shared" si="1"/>
        <v>0</v>
      </c>
      <c r="G17" s="349"/>
    </row>
    <row r="18" spans="1:7" s="47" customFormat="1" ht="10.8" thickTop="1">
      <c r="A18" s="95"/>
      <c r="B18" s="95"/>
      <c r="C18" s="128"/>
      <c r="D18" s="128"/>
      <c r="E18" s="128"/>
      <c r="F18" s="128"/>
      <c r="G18" s="350"/>
    </row>
    <row r="19" spans="1:7" s="28" customFormat="1" ht="151.94999999999999" customHeight="1">
      <c r="A19" s="678" t="s">
        <v>525</v>
      </c>
      <c r="B19" s="678"/>
      <c r="C19" s="678"/>
      <c r="D19" s="678"/>
      <c r="E19" s="678"/>
      <c r="F19" s="678"/>
      <c r="G19" s="339"/>
    </row>
    <row r="20" spans="1:7" s="28" customFormat="1" ht="15" customHeight="1">
      <c r="A20" s="678" t="s">
        <v>371</v>
      </c>
      <c r="B20" s="678"/>
      <c r="C20" s="678"/>
      <c r="D20" s="678"/>
      <c r="E20" s="678"/>
      <c r="F20" s="678"/>
      <c r="G20" s="339"/>
    </row>
    <row r="21" spans="1:7" s="28" customFormat="1" ht="18" customHeight="1">
      <c r="A21" s="678" t="s">
        <v>372</v>
      </c>
      <c r="B21" s="678"/>
      <c r="C21" s="678"/>
      <c r="D21" s="678"/>
      <c r="E21" s="678"/>
      <c r="F21" s="678"/>
      <c r="G21" s="339"/>
    </row>
    <row r="22" spans="1:7" s="94" customFormat="1" ht="15" customHeight="1" thickBot="1">
      <c r="A22" s="95"/>
      <c r="B22" s="95"/>
      <c r="C22" s="95"/>
      <c r="D22" s="95"/>
      <c r="E22" s="95"/>
      <c r="F22" s="95"/>
      <c r="G22" s="292"/>
    </row>
    <row r="23" spans="1:7" s="94" customFormat="1" ht="18" customHeight="1" thickTop="1" thickBot="1">
      <c r="A23" s="655" t="s">
        <v>225</v>
      </c>
      <c r="B23" s="656"/>
      <c r="C23" s="656"/>
      <c r="D23" s="656"/>
      <c r="E23" s="656"/>
      <c r="F23" s="657"/>
      <c r="G23" s="292"/>
    </row>
    <row r="24" spans="1:7" s="94" customFormat="1" ht="54" customHeight="1" thickTop="1">
      <c r="A24" s="667" t="s">
        <v>220</v>
      </c>
      <c r="B24" s="668"/>
      <c r="C24" s="658" t="s">
        <v>327</v>
      </c>
      <c r="D24" s="659"/>
      <c r="E24" s="659"/>
      <c r="F24" s="660"/>
      <c r="G24" s="292"/>
    </row>
    <row r="25" spans="1:7" s="92" customFormat="1" ht="18" customHeight="1" thickBot="1">
      <c r="A25" s="636"/>
      <c r="B25" s="636"/>
      <c r="C25" s="636"/>
      <c r="D25" s="636"/>
      <c r="E25" s="636"/>
      <c r="F25" s="636"/>
      <c r="G25" s="348"/>
    </row>
    <row r="26" spans="1:7" s="93" customFormat="1" ht="18" customHeight="1" thickTop="1">
      <c r="A26" s="655" t="s">
        <v>526</v>
      </c>
      <c r="B26" s="656"/>
      <c r="C26" s="656"/>
      <c r="D26" s="656"/>
      <c r="E26" s="656"/>
      <c r="F26" s="657"/>
      <c r="G26" s="284"/>
    </row>
    <row r="27" spans="1:7" ht="101.55" customHeight="1" thickBot="1">
      <c r="A27" s="675" t="s">
        <v>474</v>
      </c>
      <c r="B27" s="676"/>
      <c r="C27" s="676"/>
      <c r="D27" s="676"/>
      <c r="E27" s="676"/>
      <c r="F27" s="677"/>
    </row>
    <row r="28" spans="1:7" ht="14.4" thickTop="1"/>
  </sheetData>
  <sheetProtection algorithmName="SHA-512" hashValue="XtwDu8oFwC3pVMPH0rkDdOVgfDrJR3bJKAvOTUNRKYK6NoXW9mjm5Xcmk1dMlFV0r7mnzUbevI7zz68nOChH6w==" saltValue="Hytie4uI1r5THjuOQ6vhqA==" spinCount="100000" sheet="1" objects="1" scenarios="1"/>
  <dataConsolidate/>
  <mergeCells count="26">
    <mergeCell ref="A27:F27"/>
    <mergeCell ref="A10:B10"/>
    <mergeCell ref="A26:F26"/>
    <mergeCell ref="A1:F1"/>
    <mergeCell ref="A19:F19"/>
    <mergeCell ref="A20:F20"/>
    <mergeCell ref="A21:F21"/>
    <mergeCell ref="A7:F7"/>
    <mergeCell ref="A11:B11"/>
    <mergeCell ref="A12:B12"/>
    <mergeCell ref="A3:F3"/>
    <mergeCell ref="A2:F2"/>
    <mergeCell ref="A5:F5"/>
    <mergeCell ref="A6:F6"/>
    <mergeCell ref="A4:F4"/>
    <mergeCell ref="A8:B8"/>
    <mergeCell ref="A25:F25"/>
    <mergeCell ref="A23:F23"/>
    <mergeCell ref="C24:F24"/>
    <mergeCell ref="A9:B9"/>
    <mergeCell ref="A13:B13"/>
    <mergeCell ref="A17:B17"/>
    <mergeCell ref="A24:B24"/>
    <mergeCell ref="A16:B16"/>
    <mergeCell ref="A14:B14"/>
    <mergeCell ref="A15:B15"/>
  </mergeCells>
  <dataValidations count="2">
    <dataValidation type="list" operator="lessThanOrEqual" allowBlank="1" showInputMessage="1" showErrorMessage="1" error="170€ pour les diplômes relevant du cycle de licence._x000a_243€ pour les diplômes relevant du cycle master." sqref="D9:E9 C9" xr:uid="{00000000-0002-0000-0900-000000000000}">
      <formula1>$G$9:$M$9</formula1>
    </dataValidation>
    <dataValidation operator="lessThanOrEqual" allowBlank="1" showInputMessage="1" showErrorMessage="1" error="170€ pour les diplômes relevant du cycle de licence._x000a_243€ pour les diplômes relevant du cycle master." sqref="C10:E10" xr:uid="{00000000-0002-0000-0900-000001000000}"/>
  </dataValidations>
  <pageMargins left="0" right="0" top="0" bottom="0" header="0.11811023622047245"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tabColor theme="1"/>
    <pageSetUpPr fitToPage="1"/>
  </sheetPr>
  <dimension ref="A1:T52"/>
  <sheetViews>
    <sheetView zoomScale="85" zoomScaleNormal="85" workbookViewId="0">
      <selection activeCell="C29" sqref="C29"/>
    </sheetView>
  </sheetViews>
  <sheetFormatPr baseColWidth="10" defaultColWidth="11.44140625" defaultRowHeight="13.8"/>
  <cols>
    <col min="1" max="2" width="20.77734375" style="13" customWidth="1"/>
    <col min="3" max="6" width="13.77734375" style="13" customWidth="1"/>
    <col min="7" max="7" width="15.77734375" style="13" customWidth="1"/>
    <col min="8" max="8" width="38.21875" style="361" customWidth="1"/>
    <col min="9" max="9" width="11.44140625" style="362" customWidth="1"/>
    <col min="10" max="12" width="11.44140625" style="363" customWidth="1"/>
    <col min="13" max="13" width="11.44140625" style="167" customWidth="1"/>
    <col min="14" max="20" width="11.44140625" style="167"/>
    <col min="21" max="16384" width="11.44140625" style="13"/>
  </cols>
  <sheetData>
    <row r="1" spans="1:20" s="28" customFormat="1" ht="90" customHeight="1">
      <c r="A1" s="89"/>
      <c r="H1" s="433"/>
      <c r="I1" s="434"/>
      <c r="J1" s="434"/>
      <c r="K1" s="434"/>
      <c r="L1" s="435"/>
      <c r="M1" s="436"/>
      <c r="N1" s="436"/>
      <c r="O1" s="436"/>
      <c r="P1" s="134"/>
      <c r="Q1" s="134"/>
      <c r="R1" s="159"/>
      <c r="S1" s="159"/>
      <c r="T1" s="159"/>
    </row>
    <row r="2" spans="1:20" s="91" customFormat="1" ht="20.100000000000001" customHeight="1">
      <c r="A2" s="680" t="str">
        <f>IF(DAPEC!A3&lt;&gt;"SELECTIONNER VOTRE ETABLISSEMENT DANS LA LISTE",DAPEC!A3,"Veuillez sélectionner votre établissement onglet DAPEC ligne 3")</f>
        <v>Veuillez sélectionner votre établissement onglet DAPEC ligne 3</v>
      </c>
      <c r="B2" s="680"/>
      <c r="C2" s="680"/>
      <c r="D2" s="680"/>
      <c r="E2" s="680"/>
      <c r="F2" s="680"/>
      <c r="G2" s="680"/>
      <c r="H2" s="433"/>
      <c r="I2" s="434"/>
      <c r="J2" s="435"/>
      <c r="K2" s="435"/>
      <c r="L2" s="435"/>
      <c r="M2" s="340"/>
      <c r="N2" s="340"/>
      <c r="O2" s="340"/>
      <c r="P2" s="337"/>
      <c r="Q2" s="337"/>
      <c r="R2" s="160"/>
      <c r="S2" s="160"/>
      <c r="T2" s="160"/>
    </row>
    <row r="3" spans="1:20" s="91" customFormat="1" ht="20.100000000000001" customHeight="1">
      <c r="A3" s="680" t="str">
        <f>IF(DAPEC!B11="","Veuillez renseigner le nom de l'agent onglet DAPEC ligne 9",DAPEC!B11)</f>
        <v>Veuillez renseigner le nom de l'agent onglet DAPEC ligne 9</v>
      </c>
      <c r="B3" s="680"/>
      <c r="C3" s="680"/>
      <c r="D3" s="680"/>
      <c r="E3" s="680"/>
      <c r="F3" s="680"/>
      <c r="G3" s="680"/>
      <c r="H3" s="433"/>
      <c r="I3" s="434"/>
      <c r="J3" s="435"/>
      <c r="K3" s="435"/>
      <c r="L3" s="435"/>
      <c r="M3" s="340"/>
      <c r="N3" s="340"/>
      <c r="O3" s="340"/>
      <c r="P3" s="337"/>
      <c r="Q3" s="337"/>
      <c r="R3" s="160"/>
      <c r="S3" s="160"/>
      <c r="T3" s="160"/>
    </row>
    <row r="4" spans="1:20" s="91" customFormat="1" ht="36" customHeight="1">
      <c r="A4" s="583" t="str">
        <f>IF(DAPEC!A17="SELECTIONNER L'ÉTUDE PROMOTIONNELLE DANS LA LISTE","Veuillez sélectionner l'EP onglet DAPEC ligne 18",DAPEC!A17)</f>
        <v>Veuillez sélectionner l'EP onglet DAPEC ligne 18</v>
      </c>
      <c r="B4" s="583"/>
      <c r="C4" s="583"/>
      <c r="D4" s="583"/>
      <c r="E4" s="583"/>
      <c r="F4" s="583"/>
      <c r="G4" s="583"/>
      <c r="H4" s="433"/>
      <c r="I4" s="434"/>
      <c r="J4" s="434"/>
      <c r="K4" s="434"/>
      <c r="L4" s="435"/>
      <c r="M4" s="340"/>
      <c r="N4" s="340"/>
      <c r="O4" s="340"/>
      <c r="P4" s="337"/>
      <c r="Q4" s="337"/>
      <c r="R4" s="160"/>
      <c r="S4" s="160"/>
      <c r="T4" s="160"/>
    </row>
    <row r="5" spans="1:20" s="109" customFormat="1" ht="6" customHeight="1" thickBot="1">
      <c r="B5" s="723"/>
      <c r="C5" s="723"/>
      <c r="D5" s="723"/>
      <c r="E5" s="723"/>
      <c r="F5" s="723"/>
      <c r="G5" s="723"/>
      <c r="H5" s="433"/>
      <c r="I5" s="434"/>
      <c r="J5" s="435"/>
      <c r="K5" s="435"/>
      <c r="L5" s="435"/>
      <c r="M5" s="437"/>
      <c r="N5" s="437"/>
      <c r="O5" s="437"/>
      <c r="P5" s="365"/>
      <c r="Q5" s="365"/>
      <c r="R5" s="161"/>
      <c r="S5" s="161"/>
      <c r="T5" s="161"/>
    </row>
    <row r="6" spans="1:20" s="110" customFormat="1" ht="24" customHeight="1" thickTop="1" thickBot="1">
      <c r="A6" s="720" t="s">
        <v>221</v>
      </c>
      <c r="B6" s="720"/>
      <c r="C6" s="720"/>
      <c r="D6" s="720"/>
      <c r="E6" s="720"/>
      <c r="F6" s="720"/>
      <c r="G6" s="720"/>
      <c r="H6" s="433" t="str">
        <f>IF(Priorité=DAPEC!A41,"MHS","")</f>
        <v/>
      </c>
      <c r="I6" s="434" t="str">
        <f>IF(DAPEC!B4=DAPEC!I65,"Panel 1","")</f>
        <v/>
      </c>
      <c r="J6" s="434" t="str">
        <f>IF(DAPEC!B4=DAPEC!I44,"Panel 2","")</f>
        <v/>
      </c>
      <c r="K6" s="434" t="str">
        <f>IF(DAPEC!B4=DAPEC!I41,"Panel 3","")</f>
        <v/>
      </c>
      <c r="L6" s="435"/>
      <c r="M6" s="438"/>
      <c r="N6" s="438"/>
      <c r="O6" s="438"/>
      <c r="P6" s="366"/>
      <c r="Q6" s="366"/>
      <c r="R6" s="162"/>
      <c r="S6" s="162"/>
      <c r="T6" s="162"/>
    </row>
    <row r="7" spans="1:20" s="109" customFormat="1" ht="6" customHeight="1" thickTop="1" thickBot="1">
      <c r="B7" s="111"/>
      <c r="C7" s="111"/>
      <c r="D7" s="111"/>
      <c r="E7" s="111"/>
      <c r="F7" s="111"/>
      <c r="G7" s="111"/>
      <c r="H7" s="433"/>
      <c r="I7" s="434"/>
      <c r="J7" s="435"/>
      <c r="K7" s="435"/>
      <c r="L7" s="435"/>
      <c r="M7" s="437"/>
      <c r="N7" s="437"/>
      <c r="O7" s="437"/>
      <c r="P7" s="365"/>
      <c r="Q7" s="365"/>
      <c r="R7" s="161"/>
      <c r="S7" s="161"/>
      <c r="T7" s="161"/>
    </row>
    <row r="8" spans="1:20" s="93" customFormat="1" ht="15" customHeight="1" thickTop="1">
      <c r="A8" s="721"/>
      <c r="B8" s="722"/>
      <c r="C8" s="118">
        <v>2025</v>
      </c>
      <c r="D8" s="118">
        <v>2026</v>
      </c>
      <c r="E8" s="119">
        <v>2027</v>
      </c>
      <c r="F8" s="119">
        <v>2028</v>
      </c>
      <c r="G8" s="120" t="s">
        <v>24</v>
      </c>
      <c r="H8" s="433" t="str">
        <f>IF(DAPEC!A17=DAPEC!B80,"AS","")</f>
        <v/>
      </c>
      <c r="I8" s="434" t="str">
        <f>IF(I6="Panel 1",IF(H8="AS",Politique!C56,""),"")</f>
        <v/>
      </c>
      <c r="J8" s="435" t="str">
        <f>IF(J6="Panel 2",IF(H8="AS",Politique!D56,""),"")</f>
        <v/>
      </c>
      <c r="K8" s="439" t="str">
        <f>IF(K6="Panel 3",IF(H8="AS",Politique!C66,""),"")</f>
        <v/>
      </c>
      <c r="L8" s="435"/>
      <c r="M8" s="440"/>
      <c r="N8" s="440"/>
      <c r="O8" s="440"/>
      <c r="P8" s="367"/>
      <c r="Q8" s="367"/>
      <c r="R8" s="163"/>
      <c r="S8" s="163"/>
      <c r="T8" s="163"/>
    </row>
    <row r="9" spans="1:20" s="94" customFormat="1" ht="15" customHeight="1">
      <c r="A9" s="697" t="s">
        <v>26</v>
      </c>
      <c r="B9" s="698"/>
      <c r="C9" s="137">
        <f>SUM('Déplacement Forfait'!C14+'Déplacement 2025'!K46)</f>
        <v>0</v>
      </c>
      <c r="D9" s="138">
        <f>SUM('Déplacement Forfait'!E14+'Déplacement 2026'!K46)</f>
        <v>0</v>
      </c>
      <c r="E9" s="138">
        <f>SUM('Déplacement Forfait'!G14+'Déplacement 2027'!K46)</f>
        <v>0</v>
      </c>
      <c r="F9" s="138">
        <f>SUM('Déplacement Forfait'!I14+'Déplacement 2028'!K46)</f>
        <v>0</v>
      </c>
      <c r="G9" s="139">
        <f>SUM(C9:F9)</f>
        <v>0</v>
      </c>
      <c r="H9" s="433" t="str">
        <f>IF(DAPEC!A17=DAPEC!B81,"AS","")</f>
        <v/>
      </c>
      <c r="I9" s="434" t="str">
        <f>IF(I6="Panel 1",IF(H9="AS",Politique!C56,""),"")</f>
        <v/>
      </c>
      <c r="J9" s="435" t="str">
        <f>IF(J6="Panel 2",IF(H9="AS",Politique!D56,""),"")</f>
        <v/>
      </c>
      <c r="K9" s="439" t="str">
        <f>IF(K6="Panel 3",IF(H9="AS",Politique!C66,""),"")</f>
        <v/>
      </c>
      <c r="L9" s="435"/>
      <c r="M9" s="441"/>
      <c r="N9" s="441"/>
      <c r="O9" s="441"/>
      <c r="P9" s="358"/>
      <c r="Q9" s="358"/>
      <c r="R9" s="164"/>
      <c r="S9" s="164"/>
      <c r="T9" s="164"/>
    </row>
    <row r="10" spans="1:20" s="94" customFormat="1" ht="15" customHeight="1">
      <c r="A10" s="716" t="s">
        <v>475</v>
      </c>
      <c r="B10" s="717"/>
      <c r="C10" s="137">
        <f>SUM(Enseignement!C9)</f>
        <v>0</v>
      </c>
      <c r="D10" s="137">
        <f>SUM(Enseignement!D9)</f>
        <v>0</v>
      </c>
      <c r="E10" s="137">
        <f>SUM(Enseignement!E9)</f>
        <v>0</v>
      </c>
      <c r="F10" s="137">
        <v>0</v>
      </c>
      <c r="G10" s="140">
        <f>SUM(C10:F10)</f>
        <v>0</v>
      </c>
      <c r="H10" s="433" t="str">
        <f>IF(DAPEC!A17=DAPEC!B82,"CADRE","")</f>
        <v/>
      </c>
      <c r="I10" s="434" t="str">
        <f>IF(I6="Panel 1",IF(H10="CADRE",Politique!C57,""),"")</f>
        <v/>
      </c>
      <c r="J10" s="435" t="str">
        <f>IF(J6="Panel 2",IF(H10="CADRE",Politique!D57,""),"")</f>
        <v/>
      </c>
      <c r="K10" s="439" t="str">
        <f>IF(K6="Panel 3",IF(H10="CADRE",Politique!C66,""),"")</f>
        <v/>
      </c>
      <c r="L10" s="435"/>
      <c r="M10" s="441"/>
      <c r="N10" s="441"/>
      <c r="O10" s="442"/>
      <c r="P10" s="369"/>
      <c r="Q10" s="368"/>
      <c r="R10" s="164"/>
      <c r="S10" s="164"/>
      <c r="T10" s="164"/>
    </row>
    <row r="11" spans="1:20" s="94" customFormat="1" ht="15" customHeight="1">
      <c r="A11" s="716" t="s">
        <v>472</v>
      </c>
      <c r="B11" s="717"/>
      <c r="C11" s="137">
        <f>SUM(Enseignement!C10)</f>
        <v>0</v>
      </c>
      <c r="D11" s="137">
        <f>SUM(Enseignement!D10)</f>
        <v>0</v>
      </c>
      <c r="E11" s="137">
        <f>SUM(Enseignement!E10)</f>
        <v>0</v>
      </c>
      <c r="F11" s="137">
        <v>0</v>
      </c>
      <c r="G11" s="140">
        <f>SUM(C11:F11)</f>
        <v>0</v>
      </c>
      <c r="H11" s="433" t="str">
        <f>IF(DAPEC!A17=DAPEC!B86,"CAFERUIS","")</f>
        <v/>
      </c>
      <c r="I11" s="434" t="str">
        <f>IF(I6="Panel 1",IF(H11="CAFERUIS",Politique!C58,""),"")</f>
        <v/>
      </c>
      <c r="J11" s="435" t="str">
        <f>IF(J6="Panel 2",IF(H11="CAFERUIS",Politique!D58,""),"")</f>
        <v/>
      </c>
      <c r="K11" s="439" t="str">
        <f>IF(K6="Panel 3",IF(H11="CAFERUIS",Politique!C66,""),"")</f>
        <v/>
      </c>
      <c r="L11" s="435"/>
      <c r="M11" s="441"/>
      <c r="N11" s="441"/>
      <c r="O11" s="442"/>
      <c r="P11" s="369"/>
      <c r="Q11" s="368"/>
      <c r="R11" s="164"/>
      <c r="S11" s="164"/>
      <c r="T11" s="164"/>
    </row>
    <row r="12" spans="1:20" s="94" customFormat="1" ht="15" customHeight="1">
      <c r="A12" s="697" t="s">
        <v>378</v>
      </c>
      <c r="B12" s="698"/>
      <c r="C12" s="137">
        <f>IF(DAPEC!E15="Choisir",0,IF(DAPEC!E15="En discontinu",0,IF(DAPEC!A17="Diplôme d'État d'Infirmier - IDE",Enseignement!F11/30*4,(Enseignement!F11/Traitement!A10)*Traitement!C14)))</f>
        <v>0</v>
      </c>
      <c r="D12" s="137">
        <f>IF(DAPEC!E15="Choisir",0,IF(DAPEC!E15="En discontinu",0,IF(DAPEC!A17="Diplôme d'État d'Infirmier - IDE",Enseignement!F11/30*10,(Enseignement!F11/Traitement!A10)*Traitement!E14)))</f>
        <v>0</v>
      </c>
      <c r="E12" s="137">
        <f>IF(DAPEC!E15="Choisir",0,IF(DAPEC!E15="En discontinu",0,IF(DAPEC!A17="Diplôme d'État d'Infirmier - IDE",Enseignement!F11/30*10,(Enseignement!F11/Traitement!A10)*Traitement!G14)))</f>
        <v>0</v>
      </c>
      <c r="F12" s="137">
        <f>IF(DAPEC!E15="Choisir",0,IF(DAPEC!E15="En discontinu",0,IF(DAPEC!A17="Diplôme d'État d'Infirmier - IDE",Enseignement!F11/30*6,ROUND((Enseignement!F11/Traitement!A10)*Traitement!I14,0))))</f>
        <v>0</v>
      </c>
      <c r="G12" s="140">
        <f t="shared" ref="G12:G16" si="0">SUM(C12:F12)</f>
        <v>0</v>
      </c>
      <c r="H12" s="433" t="str">
        <f>IF(DAPEC!A17=DAPEC!B104,"DE PUERICULTRICE","")</f>
        <v/>
      </c>
      <c r="I12" s="434" t="str">
        <f>IF(I6="Panel 1",IF(H12="DE PUERICULTRICE",Politique!C59,""),"")</f>
        <v/>
      </c>
      <c r="J12" s="435" t="str">
        <f>IF(J6="Panel 2",IF(H12="DE PUERICULTRICE",Politique!D59,""),"")</f>
        <v/>
      </c>
      <c r="K12" s="439" t="str">
        <f>IF(K6="Panel 3",IF(H12="DE PUERICULTRICE",Politique!C66,""),"")</f>
        <v/>
      </c>
      <c r="L12" s="435"/>
      <c r="M12" s="441"/>
      <c r="N12" s="441"/>
      <c r="O12" s="442"/>
      <c r="P12" s="369"/>
      <c r="Q12" s="368"/>
      <c r="R12" s="164"/>
      <c r="S12" s="164"/>
      <c r="T12" s="164"/>
    </row>
    <row r="13" spans="1:20" s="94" customFormat="1" ht="15" customHeight="1">
      <c r="A13" s="697" t="s">
        <v>377</v>
      </c>
      <c r="B13" s="698"/>
      <c r="C13" s="137">
        <f>IF(DAPEC!E15="Choisir",0,IF(Enseignement!F11=0,0,IF(DAPEC!E15="En continu",0,SUM((Enseignement!F11)/(Traitement!A10)*Traitement!C25))))</f>
        <v>0</v>
      </c>
      <c r="D13" s="137">
        <f>IF(DAPEC!E15="Choisir",0,IF(Enseignement!F11=0,0,IF(DAPEC!E15="En continu",0,SUM((Enseignement!F11)/(Traitement!A10)*Traitement!E25))))</f>
        <v>0</v>
      </c>
      <c r="E13" s="137">
        <f>IF(DAPEC!E15="Choisir",0,IF(Enseignement!F11=0,0,IF(DAPEC!E15="En continu",0,SUM((Enseignement!F11)/(Traitement!A10)*Traitement!G25))))</f>
        <v>0</v>
      </c>
      <c r="F13" s="137">
        <f>IF(DAPEC!E15="Choisir",0,IF(Enseignement!F11=0,0,IF(DAPEC!E15="En continu",0,SUM((Enseignement!F11)/(Traitement!A10)*Traitement!I25))))</f>
        <v>0</v>
      </c>
      <c r="G13" s="140">
        <f t="shared" si="0"/>
        <v>0</v>
      </c>
      <c r="H13" s="443" t="str">
        <f>IF(DAPEC!A17=DAPEC!B88,"PREPARATEUR PHARMA HOSP","")</f>
        <v/>
      </c>
      <c r="I13" s="434" t="str">
        <f>IF(I6="Panel 1",IF(H13="PREPARATEUR PHARMA HOSP",Politique!C60,""),"")</f>
        <v/>
      </c>
      <c r="J13" s="435" t="str">
        <f>IF(J6="Panel 2",IF(H13="PREPARATEUR PHARMA HOSP",Politique!D60,""),"")</f>
        <v/>
      </c>
      <c r="K13" s="439" t="str">
        <f>IF(K6="Panel 3",IF(H13="PREPARATEUR PHARMA HOSP",Politique!C66,""),"")</f>
        <v/>
      </c>
      <c r="L13" s="435"/>
      <c r="M13" s="441"/>
      <c r="N13" s="441"/>
      <c r="O13" s="441"/>
      <c r="P13" s="358"/>
      <c r="Q13" s="358"/>
      <c r="R13" s="164"/>
      <c r="S13" s="164"/>
      <c r="T13" s="164"/>
    </row>
    <row r="14" spans="1:20" s="94" customFormat="1" ht="15" customHeight="1">
      <c r="A14" s="716" t="s">
        <v>379</v>
      </c>
      <c r="B14" s="717"/>
      <c r="C14" s="137">
        <f>SUM(Enseignement!C13:C14)</f>
        <v>0</v>
      </c>
      <c r="D14" s="137">
        <f>SUM(Enseignement!D13:D14)</f>
        <v>0</v>
      </c>
      <c r="E14" s="137">
        <f>SUM(Enseignement!E13:E14)</f>
        <v>0</v>
      </c>
      <c r="F14" s="137">
        <v>0</v>
      </c>
      <c r="G14" s="140">
        <f t="shared" si="0"/>
        <v>0</v>
      </c>
      <c r="H14" s="433" t="str">
        <f>IF(DAPEC!A17=DAPEC!B84,"IADE","")</f>
        <v/>
      </c>
      <c r="I14" s="434" t="str">
        <f>IF(I6="Panel 1",IF(H14="IADE",Politique!C61,""),"")</f>
        <v/>
      </c>
      <c r="J14" s="435" t="str">
        <f>IF(J6="Panel 2",IF(H14="IADE",Politique!D61,""),"")</f>
        <v/>
      </c>
      <c r="K14" s="439" t="str">
        <f>IF(K6="Panel 3",IF(H14="IADE",Politique!C66,""),"")</f>
        <v/>
      </c>
      <c r="L14" s="435"/>
      <c r="M14" s="441"/>
      <c r="N14" s="441"/>
      <c r="O14" s="441"/>
      <c r="P14" s="358"/>
      <c r="Q14" s="358"/>
      <c r="R14" s="164"/>
      <c r="S14" s="164"/>
      <c r="T14" s="164"/>
    </row>
    <row r="15" spans="1:20" s="94" customFormat="1" ht="15" customHeight="1">
      <c r="A15" s="716" t="s">
        <v>380</v>
      </c>
      <c r="B15" s="717"/>
      <c r="C15" s="137">
        <f>SUM(Enseignement!C12+Enseignement!C15)</f>
        <v>0</v>
      </c>
      <c r="D15" s="137">
        <f>SUM(Enseignement!D12+Enseignement!D15)</f>
        <v>0</v>
      </c>
      <c r="E15" s="137">
        <f>SUM(Enseignement!E12+Enseignement!E15)</f>
        <v>0</v>
      </c>
      <c r="F15" s="137">
        <v>0</v>
      </c>
      <c r="G15" s="140">
        <f t="shared" si="0"/>
        <v>0</v>
      </c>
      <c r="H15" s="444" t="str">
        <f>IF(DAPEC!A17=DAPEC!B83,"IBODE","")</f>
        <v/>
      </c>
      <c r="I15" s="434" t="str">
        <f>IF(I6="Panel 1",IF(H15="IBODE",Politique!C62,""),"")</f>
        <v/>
      </c>
      <c r="J15" s="435" t="str">
        <f>IF(J6="Panel 2",IF(H15="IBODE",Politique!D62,""),"")</f>
        <v/>
      </c>
      <c r="K15" s="439" t="str">
        <f>IF(K6="Panel 3",IF(H15="IBODE",Politique!C66,""),"")</f>
        <v/>
      </c>
      <c r="L15" s="435"/>
      <c r="M15" s="441"/>
      <c r="N15" s="441"/>
      <c r="O15" s="441"/>
      <c r="P15" s="358"/>
      <c r="Q15" s="358"/>
      <c r="R15" s="164"/>
      <c r="S15" s="164"/>
      <c r="T15" s="164"/>
    </row>
    <row r="16" spans="1:20" s="94" customFormat="1" ht="15" customHeight="1">
      <c r="A16" s="716" t="s">
        <v>376</v>
      </c>
      <c r="B16" s="717"/>
      <c r="C16" s="137">
        <f>SUM(Enseignement!C16)</f>
        <v>0</v>
      </c>
      <c r="D16" s="137">
        <f>SUM(Enseignement!D16)</f>
        <v>0</v>
      </c>
      <c r="E16" s="137">
        <f>SUM(Enseignement!E16)</f>
        <v>0</v>
      </c>
      <c r="F16" s="137">
        <v>0</v>
      </c>
      <c r="G16" s="140">
        <f t="shared" si="0"/>
        <v>0</v>
      </c>
      <c r="H16" s="443" t="str">
        <f>IF(DAPEC!A17=DAPEC!B79,"IDE","")</f>
        <v/>
      </c>
      <c r="I16" s="434" t="str">
        <f>IF(I6="Panel 1",IF(H16="IDE",Politique!C63,""),"")</f>
        <v/>
      </c>
      <c r="J16" s="435" t="str">
        <f>IF(J6="Panel 2",IF(H16="IDE",Politique!D63,""),"")</f>
        <v/>
      </c>
      <c r="K16" s="445" t="str">
        <f>IF(K6="Panel 3",IF(H16="IDE",Politique!C66,""),"")</f>
        <v/>
      </c>
      <c r="L16" s="435"/>
      <c r="M16" s="441"/>
      <c r="N16" s="441"/>
      <c r="O16" s="441"/>
      <c r="P16" s="358"/>
      <c r="Q16" s="358"/>
      <c r="R16" s="164"/>
      <c r="S16" s="164"/>
      <c r="T16" s="164"/>
    </row>
    <row r="17" spans="1:20" s="94" customFormat="1" ht="15" customHeight="1">
      <c r="A17" s="697" t="s">
        <v>328</v>
      </c>
      <c r="B17" s="698"/>
      <c r="C17" s="137">
        <f>IF(Traitement!C8="",0,IF(Traitement!C8="En continu",SUM(Traitement!D14),Traitement!D25))</f>
        <v>0</v>
      </c>
      <c r="D17" s="137">
        <f>IF(Traitement!C8="",0,IF(Traitement!C8="En continu",SUM(Traitement!F14),Traitement!F25))</f>
        <v>0</v>
      </c>
      <c r="E17" s="137">
        <f>IF(Traitement!C8="",0,IF(Traitement!C8="En continu",SUM(Traitement!H14),Traitement!H25))</f>
        <v>0</v>
      </c>
      <c r="F17" s="137">
        <f>IF(Traitement!C8="",0,IF(Traitement!C8="En continu",SUM(Traitement!J14),Traitement!J25))</f>
        <v>0</v>
      </c>
      <c r="G17" s="140">
        <f>SUM(C17:F17)</f>
        <v>0</v>
      </c>
      <c r="H17" s="443" t="str">
        <f>IF(AND(I6="Panel 1",H18=0),"Autres diplômes","")</f>
        <v/>
      </c>
      <c r="I17" s="446" t="str">
        <f>IF(AND(I6="Panel 1",H18=0),75%,"")</f>
        <v/>
      </c>
      <c r="J17" s="447" t="str">
        <f>IF(AND(J6="Panel 2",H18=0),85%,"")</f>
        <v/>
      </c>
      <c r="K17" s="445"/>
      <c r="L17" s="435"/>
      <c r="M17" s="441"/>
      <c r="N17" s="441"/>
      <c r="O17" s="441"/>
      <c r="P17" s="358"/>
      <c r="Q17" s="358"/>
      <c r="R17" s="164"/>
      <c r="S17" s="164"/>
      <c r="T17" s="164"/>
    </row>
    <row r="18" spans="1:20" s="94" customFormat="1" ht="15" customHeight="1" thickBot="1">
      <c r="A18" s="695" t="s">
        <v>347</v>
      </c>
      <c r="B18" s="696"/>
      <c r="C18" s="141">
        <f>SUM(C9:C17)</f>
        <v>0</v>
      </c>
      <c r="D18" s="141">
        <f t="shared" ref="D18:F18" si="1">SUM(D9:D17)</f>
        <v>0</v>
      </c>
      <c r="E18" s="141">
        <f t="shared" si="1"/>
        <v>0</v>
      </c>
      <c r="F18" s="141">
        <f t="shared" si="1"/>
        <v>0</v>
      </c>
      <c r="G18" s="107">
        <f>SUM(G9:G17)</f>
        <v>0</v>
      </c>
      <c r="H18" s="433">
        <f>IF(H8="AS",1,IF(H9="AS",1,IF(H10="CADRE",1,IF(H11="CAFERUIS",1,IF(H12="DE PUERICULTRICE",1,IF(H13="PREPARATEUR PHARMA HOSP",1,IF(H14="IADE",1,IF(H15="IBODE",1,IF(H16="IDE",1,0)))))))))</f>
        <v>0</v>
      </c>
      <c r="I18" s="434">
        <f>SUM(I8:I16)</f>
        <v>0</v>
      </c>
      <c r="J18" s="434">
        <f>SUM(J8:J16)</f>
        <v>0</v>
      </c>
      <c r="K18" s="448">
        <f>IF(K6="Panel 3",Traitement!N95,0)</f>
        <v>0</v>
      </c>
      <c r="L18" s="435"/>
      <c r="M18" s="441"/>
      <c r="N18" s="441"/>
      <c r="O18" s="441"/>
      <c r="P18" s="358"/>
      <c r="Q18" s="358"/>
      <c r="R18" s="164"/>
      <c r="S18" s="164"/>
      <c r="T18" s="164"/>
    </row>
    <row r="19" spans="1:20" s="112" customFormat="1" ht="6" customHeight="1" thickTop="1">
      <c r="D19" s="113"/>
      <c r="E19" s="113"/>
      <c r="F19" s="113"/>
      <c r="G19" s="113"/>
      <c r="H19" s="449"/>
      <c r="I19" s="449"/>
      <c r="J19" s="449"/>
      <c r="K19" s="449"/>
      <c r="L19" s="435"/>
      <c r="M19" s="449"/>
      <c r="N19" s="449"/>
      <c r="O19" s="449"/>
      <c r="P19" s="357"/>
      <c r="Q19" s="357"/>
      <c r="R19" s="165"/>
      <c r="S19" s="165"/>
      <c r="T19" s="165"/>
    </row>
    <row r="20" spans="1:20" s="112" customFormat="1" ht="28.05" customHeight="1">
      <c r="A20" s="583" t="str">
        <f>IF(DAPEC!E2=DAPEC!A41,"MHS, la prise en charge est au réel, quelle que soit la taille de l'établissement :",IF(DAPEC!B4=DAPEC!I65,"Établissement du panel 1 : Prise en charge plafonnée sur les fonds mutualisés régionaux :",IF(DAPEC!B4=DAPEC!I44,"Établissement du panel 2 : Prise en charge plafonnée sur les fonds mutualisés régionaux :",IF(DAPEC!B4=DAPEC!I41,"Établissement du panel 3 : Cofinancement de 2.000 € par année de scolarité :",""))))</f>
        <v/>
      </c>
      <c r="B20" s="583"/>
      <c r="C20" s="583"/>
      <c r="D20" s="718" t="str">
        <f>IF(A2="Veuillez sélectionner votre établissement onglet DAPEC ligne 3","",IF(H6="MHS","MHS",IF(I6="Panel 1",IF(H18=1,"Plafond ANFH","75% du coût du dossier"),IF(J6="Panel 2",IF(H18=1,"Plafond ANFH","85% du coût du dossier"),"Financement ANFH"))))</f>
        <v/>
      </c>
      <c r="E20" s="718"/>
      <c r="F20" s="718"/>
      <c r="G20" s="354" t="str">
        <f>IF(D20="","",IF(D20="MHS",G18,IF(G18=0,0,IF(D20="Financement ANFH",G18-K18,IF(D20="Plafond ANFH",I18+J18,IF(I17=75%,G18*75%,G18*85%))))))</f>
        <v/>
      </c>
      <c r="H20" s="444"/>
      <c r="I20" s="434"/>
      <c r="J20" s="435"/>
      <c r="K20" s="435"/>
      <c r="L20" s="435"/>
      <c r="M20" s="449"/>
      <c r="N20" s="449"/>
      <c r="O20" s="449"/>
      <c r="P20" s="357"/>
      <c r="Q20" s="357"/>
      <c r="R20" s="165"/>
      <c r="S20" s="165"/>
      <c r="T20" s="165"/>
    </row>
    <row r="21" spans="1:20" s="94" customFormat="1" ht="28.05" customHeight="1">
      <c r="A21" s="583"/>
      <c r="B21" s="583"/>
      <c r="C21" s="583"/>
      <c r="D21" s="719" t="str">
        <f>IF(A2="Veuillez sélectionner votre établissement onglet DAPEC ligne 3","",IF(H7="MHS","MHS","Cofinancement obligatoire"))</f>
        <v/>
      </c>
      <c r="E21" s="719"/>
      <c r="F21" s="719"/>
      <c r="G21" s="158" t="str">
        <f>IF(D21="","",IF(G20&gt;G18,0,IF(D20="Frais réels",0,G18-G20)))</f>
        <v/>
      </c>
      <c r="H21" s="441"/>
      <c r="I21" s="441"/>
      <c r="J21" s="435"/>
      <c r="K21" s="435"/>
      <c r="L21" s="435"/>
      <c r="M21" s="441"/>
      <c r="N21" s="441"/>
      <c r="O21" s="441"/>
      <c r="P21" s="358"/>
      <c r="Q21" s="358"/>
      <c r="R21" s="164"/>
      <c r="S21" s="164"/>
      <c r="T21" s="164"/>
    </row>
    <row r="22" spans="1:20" s="112" customFormat="1" ht="6" customHeight="1" thickBot="1">
      <c r="B22" s="109"/>
      <c r="C22" s="109"/>
      <c r="D22" s="109"/>
      <c r="E22" s="109"/>
      <c r="F22" s="109"/>
      <c r="G22" s="109"/>
      <c r="H22" s="361"/>
      <c r="I22" s="362"/>
      <c r="J22" s="363"/>
      <c r="K22" s="363"/>
      <c r="L22" s="363"/>
      <c r="M22" s="165"/>
      <c r="N22" s="165"/>
      <c r="O22" s="357"/>
      <c r="P22" s="357"/>
      <c r="Q22" s="357"/>
      <c r="R22" s="165"/>
      <c r="S22" s="165"/>
      <c r="T22" s="165"/>
    </row>
    <row r="23" spans="1:20" s="114" customFormat="1" ht="24" customHeight="1" thickTop="1" thickBot="1">
      <c r="A23" s="728" t="s">
        <v>222</v>
      </c>
      <c r="B23" s="729"/>
      <c r="C23" s="729"/>
      <c r="D23" s="729"/>
      <c r="E23" s="729"/>
      <c r="F23" s="729"/>
      <c r="G23" s="730"/>
      <c r="H23" s="724" t="str">
        <f>IF(D20="MHS","","La politique régionale vous impose de cofinancer ce dossier. En l'absence de financement de votre part, l'ANFH se réserve le droit d'impacter votre plan de formation en N+1 du côut total du cofinancement calculé.")</f>
        <v>La politique régionale vous impose de cofinancer ce dossier. En l'absence de financement de votre part, l'ANFH se réserve le droit d'impacter votre plan de formation en N+1 du côut total du cofinancement calculé.</v>
      </c>
      <c r="I23" s="725"/>
      <c r="J23" s="725"/>
      <c r="K23" s="725"/>
      <c r="L23" s="725"/>
      <c r="M23" s="725"/>
      <c r="N23" s="725"/>
      <c r="O23" s="725"/>
      <c r="P23" s="370"/>
      <c r="Q23" s="166"/>
      <c r="R23" s="166"/>
      <c r="S23" s="166"/>
      <c r="T23" s="166"/>
    </row>
    <row r="24" spans="1:20" s="94" customFormat="1" ht="15" customHeight="1">
      <c r="A24" s="731" t="s">
        <v>223</v>
      </c>
      <c r="B24" s="732"/>
      <c r="C24" s="732"/>
      <c r="D24" s="732"/>
      <c r="E24" s="732"/>
      <c r="F24" s="732"/>
      <c r="G24" s="733"/>
      <c r="H24" s="724"/>
      <c r="I24" s="725"/>
      <c r="J24" s="725"/>
      <c r="K24" s="725"/>
      <c r="L24" s="725"/>
      <c r="M24" s="725"/>
      <c r="N24" s="725"/>
      <c r="O24" s="725"/>
      <c r="P24" s="371"/>
      <c r="Q24" s="164"/>
      <c r="R24" s="164"/>
      <c r="S24" s="164"/>
      <c r="T24" s="164"/>
    </row>
    <row r="25" spans="1:20" s="94" customFormat="1" ht="15" customHeight="1">
      <c r="A25" s="684" t="str">
        <f>IF(G21="","",IF(G21=G31,"","Votre cofinancement obligatoire n'est pas encore atteint, vous devez encore impacter votre plan de formation de :"))</f>
        <v/>
      </c>
      <c r="B25" s="685"/>
      <c r="C25" s="685"/>
      <c r="D25" s="685"/>
      <c r="E25" s="685"/>
      <c r="F25" s="688" t="str">
        <f>IF(G21="","",IF(G21=G31,"",G21-G31))</f>
        <v/>
      </c>
      <c r="G25" s="689"/>
      <c r="H25" s="724"/>
      <c r="I25" s="725"/>
      <c r="J25" s="725"/>
      <c r="K25" s="725"/>
      <c r="L25" s="725"/>
      <c r="M25" s="725"/>
      <c r="N25" s="725"/>
      <c r="O25" s="725"/>
      <c r="P25" s="371"/>
      <c r="Q25" s="164"/>
      <c r="R25" s="164"/>
      <c r="S25" s="164"/>
      <c r="T25" s="164"/>
    </row>
    <row r="26" spans="1:20" s="94" customFormat="1" ht="15" customHeight="1">
      <c r="A26" s="686"/>
      <c r="B26" s="687"/>
      <c r="C26" s="687"/>
      <c r="D26" s="687"/>
      <c r="E26" s="687"/>
      <c r="F26" s="690"/>
      <c r="G26" s="691"/>
      <c r="H26" s="724"/>
      <c r="I26" s="725"/>
      <c r="J26" s="725"/>
      <c r="K26" s="725"/>
      <c r="L26" s="725"/>
      <c r="M26" s="725"/>
      <c r="N26" s="725"/>
      <c r="O26" s="725"/>
      <c r="P26" s="372"/>
      <c r="Q26" s="164"/>
      <c r="R26" s="164"/>
      <c r="S26" s="164"/>
      <c r="T26" s="164"/>
    </row>
    <row r="27" spans="1:20" s="94" customFormat="1" ht="15" customHeight="1">
      <c r="A27" s="734" t="s">
        <v>349</v>
      </c>
      <c r="B27" s="735"/>
      <c r="C27" s="356">
        <v>2025</v>
      </c>
      <c r="D27" s="356">
        <v>2026</v>
      </c>
      <c r="E27" s="356">
        <v>2027</v>
      </c>
      <c r="F27" s="356">
        <v>2028</v>
      </c>
      <c r="G27" s="175" t="s">
        <v>24</v>
      </c>
      <c r="H27" s="724"/>
      <c r="I27" s="725"/>
      <c r="J27" s="725"/>
      <c r="K27" s="725"/>
      <c r="L27" s="725"/>
      <c r="M27" s="725"/>
      <c r="N27" s="725"/>
      <c r="O27" s="725"/>
      <c r="P27" s="372"/>
      <c r="Q27" s="164"/>
      <c r="R27" s="164"/>
      <c r="S27" s="164"/>
      <c r="T27" s="164"/>
    </row>
    <row r="28" spans="1:20" s="94" customFormat="1" ht="15" customHeight="1">
      <c r="A28" s="412" t="s">
        <v>26</v>
      </c>
      <c r="B28" s="413"/>
      <c r="C28" s="414">
        <v>0</v>
      </c>
      <c r="D28" s="415">
        <v>0</v>
      </c>
      <c r="E28" s="415">
        <v>0</v>
      </c>
      <c r="F28" s="415">
        <v>0</v>
      </c>
      <c r="G28" s="416">
        <f>SUM(C28:F28)</f>
        <v>0</v>
      </c>
      <c r="H28" s="724"/>
      <c r="I28" s="725"/>
      <c r="J28" s="725"/>
      <c r="K28" s="725"/>
      <c r="L28" s="725"/>
      <c r="M28" s="725"/>
      <c r="N28" s="725"/>
      <c r="O28" s="725"/>
      <c r="P28" s="372"/>
      <c r="Q28" s="164"/>
      <c r="R28" s="164"/>
      <c r="S28" s="164"/>
      <c r="T28" s="164"/>
    </row>
    <row r="29" spans="1:20" s="94" customFormat="1" ht="15" customHeight="1">
      <c r="A29" s="703" t="s">
        <v>246</v>
      </c>
      <c r="B29" s="704"/>
      <c r="C29" s="157">
        <v>0</v>
      </c>
      <c r="D29" s="174">
        <f>IF(DAPEC!C23&gt;44561,IF(D15+D16&gt;G24-D30,G24-D30,D15+D16),0)</f>
        <v>0</v>
      </c>
      <c r="E29" s="174">
        <v>0</v>
      </c>
      <c r="F29" s="174">
        <v>0</v>
      </c>
      <c r="G29" s="140">
        <f>SUM(C29:F29)</f>
        <v>0</v>
      </c>
      <c r="H29" s="724"/>
      <c r="I29" s="725"/>
      <c r="J29" s="725"/>
      <c r="K29" s="725"/>
      <c r="L29" s="725"/>
      <c r="M29" s="725"/>
      <c r="N29" s="725"/>
      <c r="O29" s="725"/>
      <c r="P29" s="372"/>
      <c r="Q29" s="164"/>
      <c r="R29" s="164"/>
      <c r="S29" s="164"/>
      <c r="T29" s="164"/>
    </row>
    <row r="30" spans="1:20" s="94" customFormat="1" ht="15" customHeight="1">
      <c r="A30" s="703" t="s">
        <v>328</v>
      </c>
      <c r="B30" s="704"/>
      <c r="C30" s="157">
        <v>0</v>
      </c>
      <c r="D30" s="174">
        <v>0</v>
      </c>
      <c r="E30" s="174">
        <v>0</v>
      </c>
      <c r="F30" s="174">
        <v>0</v>
      </c>
      <c r="G30" s="140">
        <f>SUM(C30:F30)</f>
        <v>0</v>
      </c>
      <c r="H30" s="724"/>
      <c r="I30" s="725"/>
      <c r="J30" s="725"/>
      <c r="K30" s="725"/>
      <c r="L30" s="725"/>
      <c r="M30" s="725"/>
      <c r="N30" s="725"/>
      <c r="O30" s="725"/>
      <c r="P30" s="372"/>
      <c r="Q30" s="164"/>
      <c r="R30" s="164"/>
      <c r="S30" s="164"/>
      <c r="T30" s="164"/>
    </row>
    <row r="31" spans="1:20" s="94" customFormat="1" ht="15.75" customHeight="1" thickBot="1">
      <c r="A31" s="712" t="s">
        <v>229</v>
      </c>
      <c r="B31" s="713"/>
      <c r="C31" s="141">
        <f>SUM(C26+C28+C29+C30)</f>
        <v>0</v>
      </c>
      <c r="D31" s="141">
        <f>SUM(D26+D28+D29+D30)</f>
        <v>0</v>
      </c>
      <c r="E31" s="141">
        <f>SUM(E26+E28+E29+E30)</f>
        <v>0</v>
      </c>
      <c r="F31" s="141">
        <f>SUM(F26+F28+F29+F30)</f>
        <v>0</v>
      </c>
      <c r="G31" s="107">
        <f>SUM(G26:G30)</f>
        <v>0</v>
      </c>
      <c r="H31" s="724"/>
      <c r="I31" s="725"/>
      <c r="J31" s="725"/>
      <c r="K31" s="725"/>
      <c r="L31" s="725"/>
      <c r="M31" s="725"/>
      <c r="N31" s="725"/>
      <c r="O31" s="725"/>
      <c r="P31" s="372"/>
      <c r="Q31" s="164"/>
      <c r="R31" s="164"/>
      <c r="S31" s="164"/>
      <c r="T31" s="164"/>
    </row>
    <row r="32" spans="1:20" s="93" customFormat="1" ht="17.399999999999999" thickTop="1" thickBot="1">
      <c r="A32" s="115"/>
      <c r="B32" s="115"/>
      <c r="C32" s="116"/>
      <c r="D32" s="116"/>
      <c r="E32" s="116"/>
      <c r="F32" s="116"/>
      <c r="G32" s="116"/>
      <c r="H32" s="364"/>
      <c r="I32" s="362"/>
      <c r="J32" s="363"/>
      <c r="K32" s="363"/>
      <c r="L32" s="363"/>
      <c r="M32" s="163"/>
      <c r="N32" s="163"/>
      <c r="O32" s="163"/>
      <c r="P32" s="163"/>
      <c r="Q32" s="163"/>
      <c r="R32" s="163"/>
      <c r="S32" s="163"/>
      <c r="T32" s="163"/>
    </row>
    <row r="33" spans="1:20" s="93" customFormat="1" ht="16.8" thickTop="1">
      <c r="A33" s="707" t="s">
        <v>224</v>
      </c>
      <c r="B33" s="708"/>
      <c r="C33" s="708"/>
      <c r="D33" s="708"/>
      <c r="E33" s="708"/>
      <c r="F33" s="708"/>
      <c r="G33" s="709"/>
      <c r="H33" s="364"/>
      <c r="I33" s="362"/>
      <c r="J33" s="363"/>
      <c r="K33" s="363"/>
      <c r="L33" s="363"/>
      <c r="M33" s="163"/>
      <c r="N33" s="163"/>
      <c r="O33" s="163"/>
      <c r="P33" s="163"/>
      <c r="Q33" s="163"/>
      <c r="R33" s="163"/>
      <c r="S33" s="163"/>
      <c r="T33" s="163"/>
    </row>
    <row r="34" spans="1:20" s="93" customFormat="1" ht="15" customHeight="1">
      <c r="A34" s="710"/>
      <c r="B34" s="711"/>
      <c r="C34" s="121">
        <v>2025</v>
      </c>
      <c r="D34" s="121">
        <v>2026</v>
      </c>
      <c r="E34" s="122">
        <v>2027</v>
      </c>
      <c r="F34" s="122">
        <v>2028</v>
      </c>
      <c r="G34" s="123" t="s">
        <v>24</v>
      </c>
      <c r="H34" s="364"/>
      <c r="I34" s="362"/>
      <c r="J34" s="363"/>
      <c r="K34" s="363"/>
      <c r="L34" s="363"/>
      <c r="M34" s="163"/>
      <c r="N34" s="163"/>
      <c r="O34" s="163"/>
      <c r="P34" s="163"/>
      <c r="Q34" s="163"/>
      <c r="R34" s="163"/>
      <c r="S34" s="163"/>
      <c r="T34" s="163"/>
    </row>
    <row r="35" spans="1:20" s="93" customFormat="1" ht="15" customHeight="1">
      <c r="A35" s="705" t="s">
        <v>340</v>
      </c>
      <c r="B35" s="706"/>
      <c r="C35" s="142">
        <f>SUM(C9-C28)</f>
        <v>0</v>
      </c>
      <c r="D35" s="142">
        <f>SUM(D9-D28)</f>
        <v>0</v>
      </c>
      <c r="E35" s="142">
        <f>SUM(E9-E28)</f>
        <v>0</v>
      </c>
      <c r="F35" s="142">
        <f>SUM(F9-F28)</f>
        <v>0</v>
      </c>
      <c r="G35" s="143">
        <f t="shared" ref="G35:G38" si="2">SUM(C35:F35)</f>
        <v>0</v>
      </c>
      <c r="H35" s="364"/>
      <c r="I35" s="362"/>
      <c r="J35" s="363"/>
      <c r="K35" s="363"/>
      <c r="L35" s="363"/>
      <c r="M35" s="163"/>
      <c r="N35" s="163"/>
      <c r="O35" s="163"/>
      <c r="P35" s="163"/>
      <c r="Q35" s="163"/>
      <c r="R35" s="163"/>
      <c r="S35" s="163"/>
      <c r="T35" s="163"/>
    </row>
    <row r="36" spans="1:20" s="93" customFormat="1" ht="15" customHeight="1">
      <c r="A36" s="705" t="s">
        <v>246</v>
      </c>
      <c r="B36" s="706"/>
      <c r="C36" s="142">
        <f>SUM(C10+C11+C12+C13+C14+C15+C16)-(C29)</f>
        <v>0</v>
      </c>
      <c r="D36" s="142">
        <f t="shared" ref="D36:F36" si="3">SUM(D10+D11+D12+D13+D14+D15+D16)-(D29)</f>
        <v>0</v>
      </c>
      <c r="E36" s="142">
        <f t="shared" si="3"/>
        <v>0</v>
      </c>
      <c r="F36" s="142">
        <f t="shared" si="3"/>
        <v>0</v>
      </c>
      <c r="G36" s="144">
        <f t="shared" si="2"/>
        <v>0</v>
      </c>
      <c r="H36" s="364"/>
      <c r="I36" s="362"/>
      <c r="J36" s="363"/>
      <c r="K36" s="363"/>
      <c r="L36" s="363"/>
      <c r="M36" s="163"/>
      <c r="N36" s="163"/>
      <c r="O36" s="163"/>
      <c r="P36" s="163"/>
      <c r="Q36" s="163"/>
      <c r="R36" s="163"/>
      <c r="S36" s="163"/>
      <c r="T36" s="163"/>
    </row>
    <row r="37" spans="1:20" s="93" customFormat="1" ht="15" customHeight="1">
      <c r="A37" s="705" t="s">
        <v>328</v>
      </c>
      <c r="B37" s="706"/>
      <c r="C37" s="142">
        <f>SUM(C17-(C26+C30))</f>
        <v>0</v>
      </c>
      <c r="D37" s="142">
        <f>SUM(D17-(D26+D30))</f>
        <v>0</v>
      </c>
      <c r="E37" s="142">
        <f>SUM(E17-(E26+E30))</f>
        <v>0</v>
      </c>
      <c r="F37" s="142">
        <f>SUM(F17-(F26+F30))</f>
        <v>0</v>
      </c>
      <c r="G37" s="145">
        <f t="shared" si="2"/>
        <v>0</v>
      </c>
      <c r="H37" s="361"/>
      <c r="I37" s="362"/>
      <c r="J37" s="363"/>
      <c r="K37" s="363"/>
      <c r="L37" s="363"/>
      <c r="M37" s="163"/>
      <c r="N37" s="163"/>
      <c r="O37" s="163"/>
      <c r="P37" s="163"/>
      <c r="Q37" s="163"/>
      <c r="R37" s="163"/>
      <c r="S37" s="163"/>
      <c r="T37" s="163"/>
    </row>
    <row r="38" spans="1:20" s="109" customFormat="1" ht="15" customHeight="1" thickBot="1">
      <c r="A38" s="714" t="s">
        <v>230</v>
      </c>
      <c r="B38" s="715"/>
      <c r="C38" s="146">
        <f>SUM(C35:C37)</f>
        <v>0</v>
      </c>
      <c r="D38" s="146">
        <f>SUM(D35:D37)</f>
        <v>0</v>
      </c>
      <c r="E38" s="146">
        <f>SUM(E35:E37)</f>
        <v>0</v>
      </c>
      <c r="F38" s="146">
        <f>SUM(F35:F37)</f>
        <v>0</v>
      </c>
      <c r="G38" s="147">
        <f t="shared" si="2"/>
        <v>0</v>
      </c>
      <c r="H38" s="361"/>
      <c r="I38" s="362"/>
      <c r="J38" s="363"/>
      <c r="K38" s="363"/>
      <c r="L38" s="363"/>
      <c r="M38" s="161"/>
      <c r="N38" s="161"/>
      <c r="O38" s="161"/>
      <c r="P38" s="161"/>
      <c r="Q38" s="161"/>
      <c r="R38" s="161"/>
      <c r="S38" s="161"/>
      <c r="T38" s="161"/>
    </row>
    <row r="39" spans="1:20" ht="14.25" customHeight="1" thickTop="1" thickBot="1">
      <c r="A39" s="115"/>
      <c r="B39" s="115"/>
      <c r="C39" s="133"/>
      <c r="D39" s="133"/>
      <c r="E39" s="133"/>
      <c r="F39" s="133"/>
      <c r="G39" s="133"/>
    </row>
    <row r="40" spans="1:20" ht="14.25" customHeight="1" thickTop="1" thickBot="1">
      <c r="A40" s="737" t="s">
        <v>231</v>
      </c>
      <c r="B40" s="738"/>
      <c r="C40" s="148">
        <f>SUM(C31+C38)</f>
        <v>0</v>
      </c>
      <c r="D40" s="148">
        <f>SUM(D31+D38)</f>
        <v>0</v>
      </c>
      <c r="E40" s="148">
        <f>SUM(E31+E38)</f>
        <v>0</v>
      </c>
      <c r="F40" s="148">
        <f>SUM(F31+F38)</f>
        <v>0</v>
      </c>
      <c r="G40" s="149">
        <f>SUM(C40:F40)</f>
        <v>0</v>
      </c>
    </row>
    <row r="41" spans="1:20" ht="13.5" customHeight="1" thickTop="1">
      <c r="A41" s="109"/>
      <c r="B41" s="109"/>
      <c r="C41" s="109"/>
      <c r="D41" s="109"/>
      <c r="E41" s="117"/>
      <c r="F41" s="117"/>
      <c r="G41" s="117"/>
    </row>
    <row r="42" spans="1:20" ht="14.25" customHeight="1">
      <c r="A42" s="150" t="s">
        <v>152</v>
      </c>
      <c r="B42" s="151"/>
      <c r="C42" s="152"/>
      <c r="D42" s="152"/>
      <c r="E42" s="152"/>
      <c r="F42" s="152"/>
      <c r="G42" s="153"/>
    </row>
    <row r="43" spans="1:20" s="90" customFormat="1" ht="14.25" customHeight="1">
      <c r="A43" s="739" t="s">
        <v>153</v>
      </c>
      <c r="B43" s="740"/>
      <c r="C43" s="740"/>
      <c r="D43" s="740"/>
      <c r="E43" s="740"/>
      <c r="F43" s="740"/>
      <c r="G43" s="741"/>
      <c r="H43" s="361"/>
      <c r="I43" s="362"/>
      <c r="J43" s="362"/>
      <c r="K43" s="362"/>
      <c r="L43" s="362"/>
      <c r="M43" s="168"/>
      <c r="N43" s="168"/>
      <c r="O43" s="168"/>
      <c r="P43" s="168"/>
      <c r="Q43" s="168"/>
      <c r="R43" s="168"/>
      <c r="S43" s="168"/>
      <c r="T43" s="168"/>
    </row>
    <row r="44" spans="1:20" s="90" customFormat="1" ht="14.25" customHeight="1">
      <c r="A44" s="154" t="s">
        <v>154</v>
      </c>
      <c r="B44" s="155" t="str">
        <f>IF(DAPEC!B32="","",IF(A4="Merci d'utiliser l'onglet suivant - Répartition financière (IDE)","",DAPEC!B32))</f>
        <v/>
      </c>
      <c r="C44" s="156"/>
      <c r="D44" s="701" t="s">
        <v>156</v>
      </c>
      <c r="E44" s="701"/>
      <c r="F44" s="701"/>
      <c r="G44" s="702"/>
      <c r="H44" s="361"/>
      <c r="I44" s="362"/>
      <c r="J44" s="362"/>
      <c r="K44" s="362"/>
      <c r="L44" s="362"/>
      <c r="M44" s="168"/>
      <c r="N44" s="168"/>
      <c r="O44" s="168"/>
      <c r="P44" s="168"/>
      <c r="Q44" s="168"/>
      <c r="R44" s="168"/>
      <c r="S44" s="168"/>
      <c r="T44" s="168"/>
    </row>
    <row r="45" spans="1:20" s="90" customFormat="1" ht="14.25" customHeight="1">
      <c r="A45" s="154" t="s">
        <v>155</v>
      </c>
      <c r="B45" s="736">
        <f ca="1">IF(DAPEC!B33="","",IF(A4="Merci d'utiliser l'onglet suivant - Répartition financière (IDE)","",DAPEC!B33))</f>
        <v>45741</v>
      </c>
      <c r="C45" s="736"/>
      <c r="D45" s="699" t="str">
        <f>IF(DAPEC!D33="","",IF(A4="Merci d'utiliser l'onglet suivant - Répartition financière (IDE)","",DAPEC!D33))</f>
        <v/>
      </c>
      <c r="E45" s="699"/>
      <c r="F45" s="699"/>
      <c r="G45" s="700"/>
      <c r="H45" s="361"/>
      <c r="I45" s="362"/>
      <c r="J45" s="362"/>
      <c r="K45" s="362"/>
      <c r="L45" s="362"/>
      <c r="M45" s="168"/>
      <c r="N45" s="168"/>
      <c r="O45" s="168"/>
      <c r="P45" s="168"/>
      <c r="Q45" s="168"/>
      <c r="R45" s="168"/>
      <c r="S45" s="168"/>
      <c r="T45" s="168"/>
    </row>
    <row r="46" spans="1:20" s="90" customFormat="1" ht="14.25" customHeight="1">
      <c r="A46" s="692"/>
      <c r="B46" s="633"/>
      <c r="C46" s="633"/>
      <c r="D46" s="693"/>
      <c r="E46" s="693"/>
      <c r="F46" s="693"/>
      <c r="G46" s="694"/>
      <c r="H46" s="361"/>
      <c r="I46" s="362"/>
      <c r="J46" s="362"/>
      <c r="K46" s="362"/>
      <c r="L46" s="362"/>
      <c r="M46" s="168"/>
      <c r="N46" s="168"/>
      <c r="O46" s="168"/>
      <c r="P46" s="168"/>
      <c r="Q46" s="168"/>
      <c r="R46" s="168"/>
      <c r="S46" s="168"/>
      <c r="T46" s="168"/>
    </row>
    <row r="47" spans="1:20" s="90" customFormat="1" ht="14.25" customHeight="1">
      <c r="A47" s="692"/>
      <c r="B47" s="633"/>
      <c r="C47" s="633"/>
      <c r="D47" s="693"/>
      <c r="E47" s="693"/>
      <c r="F47" s="693"/>
      <c r="G47" s="694"/>
      <c r="H47" s="361"/>
      <c r="I47" s="362"/>
      <c r="J47" s="362"/>
      <c r="K47" s="362"/>
      <c r="L47" s="362"/>
      <c r="M47" s="168"/>
      <c r="N47" s="168"/>
      <c r="O47" s="168"/>
      <c r="P47" s="168"/>
      <c r="Q47" s="168"/>
      <c r="R47" s="168"/>
      <c r="S47" s="168"/>
      <c r="T47" s="168"/>
    </row>
    <row r="48" spans="1:20" s="90" customFormat="1" ht="14.25" customHeight="1">
      <c r="A48" s="692"/>
      <c r="B48" s="633"/>
      <c r="C48" s="633"/>
      <c r="D48" s="693"/>
      <c r="E48" s="693"/>
      <c r="F48" s="693"/>
      <c r="G48" s="694"/>
      <c r="H48" s="361"/>
      <c r="I48" s="362"/>
      <c r="J48" s="362"/>
      <c r="K48" s="362"/>
      <c r="L48" s="362"/>
      <c r="M48" s="168"/>
      <c r="N48" s="168"/>
      <c r="O48" s="168"/>
      <c r="P48" s="168"/>
      <c r="Q48" s="168"/>
      <c r="R48" s="168"/>
      <c r="S48" s="168"/>
      <c r="T48" s="168"/>
    </row>
    <row r="49" spans="1:20" s="90" customFormat="1" ht="14.25" customHeight="1">
      <c r="A49" s="692"/>
      <c r="B49" s="633"/>
      <c r="C49" s="633"/>
      <c r="D49" s="693"/>
      <c r="E49" s="693"/>
      <c r="F49" s="693"/>
      <c r="G49" s="694"/>
      <c r="H49" s="361"/>
      <c r="I49" s="362"/>
      <c r="J49" s="362"/>
      <c r="K49" s="362"/>
      <c r="L49" s="362"/>
      <c r="M49" s="168"/>
      <c r="N49" s="168"/>
      <c r="O49" s="168"/>
      <c r="P49" s="168"/>
      <c r="Q49" s="168"/>
      <c r="R49" s="168"/>
      <c r="S49" s="168"/>
      <c r="T49" s="168"/>
    </row>
    <row r="50" spans="1:20">
      <c r="A50" s="692"/>
      <c r="B50" s="633"/>
      <c r="C50" s="633"/>
      <c r="D50" s="693"/>
      <c r="E50" s="693"/>
      <c r="F50" s="693"/>
      <c r="G50" s="694"/>
    </row>
    <row r="51" spans="1:20">
      <c r="A51" s="692"/>
      <c r="B51" s="633"/>
      <c r="C51" s="633"/>
      <c r="D51" s="693"/>
      <c r="E51" s="693"/>
      <c r="F51" s="693"/>
      <c r="G51" s="694"/>
    </row>
    <row r="52" spans="1:20">
      <c r="A52" s="742" t="s">
        <v>370</v>
      </c>
      <c r="B52" s="743"/>
      <c r="C52" s="743"/>
      <c r="D52" s="726" t="s">
        <v>341</v>
      </c>
      <c r="E52" s="726"/>
      <c r="F52" s="726"/>
      <c r="G52" s="727"/>
    </row>
  </sheetData>
  <sheetProtection algorithmName="SHA-512" hashValue="umEwkk/g+OdjETslC0A4XEkY0DBY6o28T7RJfCsOmGWMMrRtJNnSzoVXHZ5W81lXKJAeFvMgT7/yw7+sS7eEkA==" saltValue="ApNbUgywLTJEDLf5lX3yVw==" spinCount="100000" sheet="1" objects="1" scenarios="1"/>
  <dataConsolidate/>
  <mergeCells count="43">
    <mergeCell ref="H23:O31"/>
    <mergeCell ref="D52:G52"/>
    <mergeCell ref="A12:B12"/>
    <mergeCell ref="A14:B14"/>
    <mergeCell ref="A16:B16"/>
    <mergeCell ref="A17:B17"/>
    <mergeCell ref="A13:B13"/>
    <mergeCell ref="A15:B15"/>
    <mergeCell ref="A23:G23"/>
    <mergeCell ref="A24:G24"/>
    <mergeCell ref="A27:B27"/>
    <mergeCell ref="A30:B30"/>
    <mergeCell ref="B45:C45"/>
    <mergeCell ref="A40:B40"/>
    <mergeCell ref="A43:G43"/>
    <mergeCell ref="A52:C52"/>
    <mergeCell ref="A2:G2"/>
    <mergeCell ref="A3:G3"/>
    <mergeCell ref="A4:G4"/>
    <mergeCell ref="A6:G6"/>
    <mergeCell ref="A8:B8"/>
    <mergeCell ref="B5:G5"/>
    <mergeCell ref="A9:B9"/>
    <mergeCell ref="D45:G45"/>
    <mergeCell ref="D44:G44"/>
    <mergeCell ref="A29:B29"/>
    <mergeCell ref="A37:B37"/>
    <mergeCell ref="A36:B36"/>
    <mergeCell ref="A33:G33"/>
    <mergeCell ref="A34:B34"/>
    <mergeCell ref="A31:B31"/>
    <mergeCell ref="A35:B35"/>
    <mergeCell ref="A38:B38"/>
    <mergeCell ref="A10:B10"/>
    <mergeCell ref="A11:B11"/>
    <mergeCell ref="A20:C21"/>
    <mergeCell ref="D20:F20"/>
    <mergeCell ref="D21:F21"/>
    <mergeCell ref="A25:E26"/>
    <mergeCell ref="F25:G26"/>
    <mergeCell ref="A46:C51"/>
    <mergeCell ref="D46:G51"/>
    <mergeCell ref="A18:B18"/>
  </mergeCells>
  <dataValidations count="1">
    <dataValidation operator="equal" allowBlank="1" showInputMessage="1" showErrorMessage="1" error="Le cofinancement n'est possible qu'à partir de l'exercice 2022." sqref="C29:C30" xr:uid="{00000000-0002-0000-0A00-000000000000}"/>
  </dataValidations>
  <pageMargins left="0" right="0" top="0" bottom="0" header="0.11811023622047245" footer="0"/>
  <pageSetup paperSize="9" scale="92" fitToHeight="0" orientation="portrait" r:id="rId1"/>
  <ignoredErrors>
    <ignoredError sqref="C38:F38 C14 D14:E14" formulaRange="1"/>
    <ignoredError sqref="D29:F29"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00B050"/>
  </sheetPr>
  <dimension ref="A1:S439"/>
  <sheetViews>
    <sheetView tabSelected="1" topLeftCell="E19" zoomScaleNormal="100" zoomScaleSheetLayoutView="100" workbookViewId="0">
      <selection activeCell="G1" sqref="G1"/>
    </sheetView>
  </sheetViews>
  <sheetFormatPr baseColWidth="10" defaultColWidth="11.44140625" defaultRowHeight="13.8"/>
  <cols>
    <col min="1" max="1" width="21.21875" style="1" customWidth="1"/>
    <col min="2" max="2" width="20.21875" style="1" customWidth="1"/>
    <col min="3" max="5" width="13.77734375" style="1" customWidth="1"/>
    <col min="6" max="6" width="20" style="1" customWidth="1"/>
    <col min="7" max="7" width="164.44140625" style="89" customWidth="1"/>
    <col min="8" max="8" width="20" style="1" customWidth="1"/>
    <col min="9" max="9" width="59.77734375" style="1" customWidth="1"/>
    <col min="10" max="10" width="20" style="1" customWidth="1"/>
    <col min="11" max="11" width="49.77734375" style="1" customWidth="1"/>
    <col min="12" max="14" width="20" style="1" customWidth="1"/>
    <col min="15" max="16" width="14.21875" style="6" customWidth="1"/>
    <col min="17" max="17" width="122" style="6" bestFit="1" customWidth="1"/>
    <col min="18" max="19" width="11.44140625" style="3"/>
    <col min="20" max="16384" width="11.44140625" style="1"/>
  </cols>
  <sheetData>
    <row r="1" spans="1:19" ht="154.05000000000001" customHeight="1">
      <c r="A1" s="257"/>
      <c r="G1" s="450" t="str">
        <f>IF(E2=A41,CONCATENATE(A179),CONCATENATE(A178))</f>
        <v>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v>
      </c>
    </row>
    <row r="2" spans="1:19" ht="24" customHeight="1">
      <c r="A2" s="190" t="s">
        <v>144</v>
      </c>
      <c r="B2" s="96"/>
      <c r="C2" s="97"/>
      <c r="D2" s="98" t="s">
        <v>365</v>
      </c>
      <c r="E2" s="504" t="s">
        <v>228</v>
      </c>
      <c r="F2" s="505"/>
      <c r="G2" s="450" t="str">
        <f>IF(E2="Choisir n°","Vous devez définir la priorité de votre demande",IF(E2="INAPTITUDE","Dossier priorité ANFH.",IF(E2="MHS","Dossier priorité ANFH.",IF(E2="PROLONGATION","Dossier non prioritaire.",""))))</f>
        <v>Vous devez définir la priorité de votre demande</v>
      </c>
      <c r="H2" s="14"/>
      <c r="I2" s="169"/>
      <c r="J2" s="14"/>
      <c r="K2" s="14"/>
      <c r="L2" s="14"/>
    </row>
    <row r="3" spans="1:19" ht="18" customHeight="1">
      <c r="A3" s="506" t="s">
        <v>31</v>
      </c>
      <c r="B3" s="507"/>
      <c r="C3" s="507"/>
      <c r="D3" s="507"/>
      <c r="E3" s="507"/>
      <c r="F3" s="508"/>
      <c r="G3" s="521" t="str">
        <f>IF(B4="","",IF(B4="Panel 1 : établissement de plus de 1 000 agents","Indépendamment des 8 études promotionnelles forfaitisées, la nouvelle politique régionale vous impose un cofinancement de 25% du coût total du dossier",IF(B4="Panel 2 : établissement de 300 à 1 000 agents","Indépendamment des 8 études promotionnelles forfaitisées, la nouvelle politique régionale vous impose un cofinancement de 15% du coût total du dossier","La nouvelle politique régionale vous impose de cofinancer ce dossier avec les crédits du plan de formation à hauteur de 2.000 € par année scolaire")))</f>
        <v/>
      </c>
      <c r="H3" s="14"/>
      <c r="I3" s="14"/>
      <c r="J3" s="14"/>
      <c r="K3" s="14"/>
      <c r="L3" s="14"/>
    </row>
    <row r="4" spans="1:19" ht="18" customHeight="1">
      <c r="A4" s="191" t="s">
        <v>304</v>
      </c>
      <c r="B4" s="509" t="str">
        <f>IF(A3="SELECTIONNER VOTRE ETABLISSEMENT DANS LA LISTE","",VLOOKUP(A3,G40:I177,3))</f>
        <v/>
      </c>
      <c r="C4" s="509"/>
      <c r="D4" s="509"/>
      <c r="E4" s="509"/>
      <c r="F4" s="510"/>
      <c r="G4" s="521"/>
      <c r="H4" s="14"/>
      <c r="I4" s="14"/>
      <c r="J4" s="14"/>
      <c r="K4" s="14"/>
      <c r="L4" s="14"/>
    </row>
    <row r="5" spans="1:19" ht="18" customHeight="1">
      <c r="A5" s="511" t="s">
        <v>383</v>
      </c>
      <c r="B5" s="512"/>
      <c r="C5" s="515"/>
      <c r="D5" s="515"/>
      <c r="E5" s="515"/>
      <c r="F5" s="516"/>
      <c r="G5" s="521"/>
      <c r="H5" s="14"/>
      <c r="I5" s="14"/>
      <c r="J5" s="14"/>
      <c r="K5" s="14"/>
      <c r="L5" s="14"/>
    </row>
    <row r="6" spans="1:19" ht="18" customHeight="1">
      <c r="A6" s="192" t="s">
        <v>237</v>
      </c>
      <c r="B6" s="178"/>
      <c r="C6" s="515"/>
      <c r="D6" s="515"/>
      <c r="E6" s="515"/>
      <c r="F6" s="516"/>
      <c r="G6" s="521"/>
    </row>
    <row r="7" spans="1:19" ht="18" customHeight="1">
      <c r="A7" s="511" t="str">
        <f>"Dossier 'inaptitude', l'établissement est-il conventionné FIPHFP :"</f>
        <v>Dossier 'inaptitude', l'établissement est-il conventionné FIPHFP :</v>
      </c>
      <c r="B7" s="512"/>
      <c r="C7" s="512"/>
      <c r="D7" s="512"/>
      <c r="E7" s="512"/>
      <c r="F7" s="432" t="s">
        <v>141</v>
      </c>
      <c r="G7" s="451"/>
    </row>
    <row r="8" spans="1:19" ht="18" customHeight="1">
      <c r="A8" s="191" t="s">
        <v>419</v>
      </c>
      <c r="B8" s="222" t="s">
        <v>141</v>
      </c>
      <c r="C8" s="30" t="s">
        <v>420</v>
      </c>
      <c r="D8" s="513"/>
      <c r="E8" s="513"/>
      <c r="F8" s="514"/>
      <c r="G8" s="450" t="str">
        <f>IF(AND(B8&lt;&gt;"Choisir",D8=""),"Vous devez renseigner la date du CSE",IF(AND(B8="Choisir",D8&lt;&gt;""),"Vous devez choisir l'avis du CSE",""))</f>
        <v/>
      </c>
      <c r="P8" s="1"/>
    </row>
    <row r="9" spans="1:19" ht="24" customHeight="1">
      <c r="A9" s="190" t="s">
        <v>145</v>
      </c>
      <c r="B9" s="97"/>
      <c r="C9" s="97"/>
      <c r="D9" s="97"/>
      <c r="E9" s="98" t="s">
        <v>317</v>
      </c>
      <c r="F9" s="338" t="s">
        <v>141</v>
      </c>
      <c r="G9" s="503" t="str">
        <f>IF(F9="Choisir","Vous devez renseigner tous les éléments de la rubrique agent",IF(F9="Oui",A180,IF(F9="Non",A181,IF(B11&lt;&gt;"","Vous devez choisir si l'agent mobilise son CPF",IF(A17&lt;&gt;"SELECTIONNER L'ÉTUDE PROMOTIONNELLE DANS LA LISTE","Vous devez renseigner tous les éléments de la rubrique agent.","")))))</f>
        <v>Vous devez renseigner tous les éléments de la rubrique agent</v>
      </c>
      <c r="H9" s="15"/>
      <c r="I9" s="15"/>
      <c r="J9" s="15"/>
      <c r="K9" s="15"/>
      <c r="L9" s="15"/>
      <c r="M9" s="15"/>
      <c r="N9" s="15"/>
    </row>
    <row r="10" spans="1:19" s="173" customFormat="1" ht="18" customHeight="1">
      <c r="A10" s="519" t="s">
        <v>450</v>
      </c>
      <c r="B10" s="471"/>
      <c r="C10" s="471"/>
      <c r="D10" s="471"/>
      <c r="E10" s="471"/>
      <c r="F10" s="520"/>
      <c r="G10" s="503"/>
      <c r="H10" s="170"/>
      <c r="I10" s="170"/>
      <c r="J10" s="170"/>
      <c r="K10" s="170"/>
      <c r="L10" s="170"/>
      <c r="M10" s="170"/>
      <c r="N10" s="170"/>
      <c r="O10" s="171"/>
      <c r="P10" s="171"/>
      <c r="Q10" s="171"/>
      <c r="R10" s="172"/>
      <c r="S10" s="172"/>
    </row>
    <row r="11" spans="1:19" ht="18" customHeight="1">
      <c r="A11" s="191" t="s">
        <v>348</v>
      </c>
      <c r="B11" s="515"/>
      <c r="C11" s="515"/>
      <c r="D11" s="515"/>
      <c r="E11" s="515"/>
      <c r="F11" s="516"/>
      <c r="G11" s="89" t="str">
        <f>IF(AND(B13&lt;&gt;"Sélectionner le grade dans la liste",B11=""),"Vous devez obligatoirement renseigner le nom et prénom de l'agent","")</f>
        <v/>
      </c>
      <c r="H11" s="16"/>
      <c r="I11" s="16"/>
      <c r="J11" s="16"/>
      <c r="K11" s="16"/>
      <c r="L11" s="16"/>
      <c r="M11" s="16"/>
      <c r="N11" s="16"/>
    </row>
    <row r="12" spans="1:19" ht="18" customHeight="1">
      <c r="A12" s="511" t="s">
        <v>521</v>
      </c>
      <c r="B12" s="512"/>
      <c r="C12" s="517"/>
      <c r="D12" s="517"/>
      <c r="E12" s="517"/>
      <c r="F12" s="518"/>
      <c r="H12" s="17"/>
      <c r="I12" s="17"/>
      <c r="J12" s="17"/>
      <c r="K12" s="17"/>
      <c r="L12" s="17"/>
      <c r="M12" s="17"/>
      <c r="N12" s="17"/>
    </row>
    <row r="13" spans="1:19" ht="18" customHeight="1">
      <c r="A13" s="191" t="s">
        <v>411</v>
      </c>
      <c r="B13" s="515" t="s">
        <v>243</v>
      </c>
      <c r="C13" s="515"/>
      <c r="D13" s="515"/>
      <c r="E13" s="515"/>
      <c r="F13" s="516"/>
      <c r="G13" s="89" t="str">
        <f>IF(AND(A17="SELECTIONNER L'ÉTUDE PROMOTIONNELLE DANS LA LISTE",B13="Sélectionner le grade dans la liste"),"",IF(AND(B13="Sélectionner le grade dans la liste",B11&lt;&gt;"",""),"Vous devez obligatoirement renseigner le grade de l'agent",""))</f>
        <v/>
      </c>
      <c r="H13" s="18"/>
      <c r="I13" s="18"/>
      <c r="J13" s="18"/>
      <c r="K13" s="18"/>
      <c r="L13" s="18"/>
      <c r="M13" s="18"/>
      <c r="N13" s="18"/>
    </row>
    <row r="14" spans="1:19" ht="18" customHeight="1">
      <c r="A14" s="511" t="s">
        <v>443</v>
      </c>
      <c r="B14" s="512"/>
      <c r="C14" s="512"/>
      <c r="D14" s="507" t="s">
        <v>444</v>
      </c>
      <c r="E14" s="507"/>
      <c r="F14" s="508"/>
      <c r="H14" s="18"/>
      <c r="I14" s="18"/>
      <c r="J14" s="18"/>
      <c r="K14" s="18"/>
      <c r="L14" s="18"/>
      <c r="M14" s="18"/>
      <c r="N14" s="18"/>
    </row>
    <row r="15" spans="1:19" ht="24" customHeight="1">
      <c r="A15" s="190" t="s">
        <v>143</v>
      </c>
      <c r="B15" s="96"/>
      <c r="C15" s="96"/>
      <c r="D15" s="96"/>
      <c r="E15" s="522" t="s">
        <v>141</v>
      </c>
      <c r="F15" s="523"/>
      <c r="G15" s="503" t="str">
        <f>IF(E15="Choisir","Vous devez renseigner tous les éléments de la rubrique action de formation",IF(E15="En discontinu",A182,""))</f>
        <v>Vous devez renseigner tous les éléments de la rubrique action de formation</v>
      </c>
      <c r="H15" s="20"/>
      <c r="I15" s="20"/>
      <c r="J15" s="20"/>
      <c r="K15" s="20"/>
      <c r="L15" s="20"/>
      <c r="M15" s="20"/>
      <c r="N15" s="20"/>
    </row>
    <row r="16" spans="1:19" ht="18" customHeight="1">
      <c r="A16" s="519" t="s">
        <v>226</v>
      </c>
      <c r="B16" s="471"/>
      <c r="C16" s="471"/>
      <c r="D16" s="471"/>
      <c r="E16" s="471"/>
      <c r="F16" s="520"/>
      <c r="G16" s="503"/>
      <c r="H16" s="21"/>
      <c r="I16" s="21"/>
      <c r="J16" s="21"/>
      <c r="K16" s="21"/>
      <c r="L16" s="21"/>
      <c r="M16" s="21"/>
      <c r="N16" s="21"/>
    </row>
    <row r="17" spans="1:19" ht="36" customHeight="1">
      <c r="A17" s="524" t="s">
        <v>146</v>
      </c>
      <c r="B17" s="525"/>
      <c r="C17" s="525"/>
      <c r="D17" s="525"/>
      <c r="E17" s="525"/>
      <c r="F17" s="526"/>
      <c r="G17" s="450" t="str">
        <f>IF(B18="Choisir","",IF(A17="SELECTIONNER L'ÉTUDE PROMOTIONNELLE DANS LA LISTE","Vous devez obligatoirement sélectionner l'étude promotionnelle dans la liste",""))</f>
        <v/>
      </c>
      <c r="H17" s="22"/>
      <c r="I17" s="22"/>
      <c r="J17" s="22"/>
      <c r="K17" s="22"/>
      <c r="L17" s="22"/>
      <c r="M17" s="22"/>
      <c r="N17" s="22"/>
    </row>
    <row r="18" spans="1:19" ht="18" customHeight="1">
      <c r="A18" s="193" t="s">
        <v>381</v>
      </c>
      <c r="B18" s="527" t="s">
        <v>141</v>
      </c>
      <c r="C18" s="527"/>
      <c r="D18" s="527"/>
      <c r="E18" s="537" t="str">
        <f>IF(B18="Reçu sur liste complémentaire","Dossier non recevable",IF(B18="En attente de résultat","Dossier non recevable",""))</f>
        <v/>
      </c>
      <c r="F18" s="538"/>
      <c r="G18" s="539" t="str">
        <f>IF(B18="Choisir","",IF(B18="Oui, liste principale","Joindre l'attestation d'admission",IF(B18="Arrêté du 07/04/2020 art. 11","Joindre le courrier d'acceptation en formation délivré par l'IFAS",IF(B18="Report de scolarité","Joindre le courrier d'acceptation du report délivré par l'institut de formation","Vous devez nous adresser l'attestation d'admission sur liste principale au plus tard une semaine avant la commission d'attribution."))))</f>
        <v/>
      </c>
    </row>
    <row r="19" spans="1:19" ht="18" customHeight="1">
      <c r="A19" s="193" t="s">
        <v>147</v>
      </c>
      <c r="B19" s="28"/>
      <c r="C19" s="527"/>
      <c r="D19" s="527"/>
      <c r="E19" s="204"/>
      <c r="F19" s="194" t="s">
        <v>329</v>
      </c>
      <c r="G19" s="539"/>
      <c r="H19" s="23"/>
      <c r="I19" s="23"/>
      <c r="J19" s="23"/>
      <c r="K19" s="23"/>
      <c r="L19" s="23"/>
      <c r="M19" s="23"/>
      <c r="N19" s="23"/>
    </row>
    <row r="20" spans="1:19" ht="18" customHeight="1">
      <c r="A20" s="193" t="s">
        <v>148</v>
      </c>
      <c r="B20" s="28"/>
      <c r="C20" s="527"/>
      <c r="D20" s="527"/>
      <c r="E20" s="204"/>
      <c r="F20" s="194" t="s">
        <v>330</v>
      </c>
      <c r="G20" s="539" t="str">
        <f>IF(E18="","","En l'absence de cette attestation d'admission, votre demande ne sera pas présentée aux membres du Comité Territorial.")</f>
        <v/>
      </c>
      <c r="H20" s="19"/>
      <c r="I20" s="19"/>
      <c r="J20" s="19"/>
      <c r="K20" s="19"/>
      <c r="L20" s="19"/>
      <c r="M20" s="19"/>
      <c r="N20" s="19"/>
    </row>
    <row r="21" spans="1:19" ht="18" customHeight="1">
      <c r="A21" s="193" t="s">
        <v>149</v>
      </c>
      <c r="B21" s="28"/>
      <c r="C21" s="527"/>
      <c r="D21" s="527"/>
      <c r="E21" s="527"/>
      <c r="F21" s="528"/>
      <c r="G21" s="539"/>
      <c r="H21" s="29"/>
      <c r="I21" s="29"/>
      <c r="J21" s="29"/>
      <c r="K21" s="29"/>
      <c r="L21" s="29"/>
      <c r="M21" s="29"/>
      <c r="N21" s="29"/>
    </row>
    <row r="22" spans="1:19" ht="18" customHeight="1" thickBot="1">
      <c r="A22" s="193" t="s">
        <v>150</v>
      </c>
      <c r="B22" s="530"/>
      <c r="C22" s="530"/>
      <c r="D22" s="36" t="s">
        <v>27</v>
      </c>
      <c r="E22" s="529"/>
      <c r="F22" s="529"/>
      <c r="G22" s="450"/>
      <c r="H22" s="24"/>
      <c r="I22" s="24"/>
      <c r="J22" s="24"/>
      <c r="K22" s="24"/>
      <c r="L22" s="24"/>
      <c r="M22" s="24"/>
      <c r="N22" s="24"/>
    </row>
    <row r="23" spans="1:19" ht="18" customHeight="1">
      <c r="A23" s="531" t="s">
        <v>442</v>
      </c>
      <c r="B23" s="532"/>
      <c r="C23" s="532"/>
      <c r="D23" s="532"/>
      <c r="E23" s="532"/>
      <c r="F23" s="533"/>
      <c r="G23" s="450"/>
      <c r="H23" s="25"/>
      <c r="I23" s="25"/>
      <c r="J23" s="25"/>
      <c r="K23" s="25"/>
      <c r="L23" s="25"/>
      <c r="M23" s="25"/>
      <c r="N23" s="25"/>
    </row>
    <row r="24" spans="1:19" s="27" customFormat="1" ht="18" customHeight="1">
      <c r="A24" s="195" t="s">
        <v>151</v>
      </c>
      <c r="B24" s="99"/>
      <c r="C24" s="102" t="s">
        <v>227</v>
      </c>
      <c r="D24" s="102" t="s">
        <v>26</v>
      </c>
      <c r="E24" s="102" t="s">
        <v>25</v>
      </c>
      <c r="F24" s="196" t="s">
        <v>24</v>
      </c>
      <c r="G24" s="89"/>
      <c r="H24" s="23"/>
      <c r="I24" s="23"/>
      <c r="J24" s="23"/>
      <c r="K24" s="23"/>
      <c r="L24" s="23"/>
      <c r="M24" s="23"/>
      <c r="N24" s="23"/>
      <c r="O24" s="100"/>
      <c r="P24" s="100"/>
      <c r="Q24" s="100"/>
      <c r="R24" s="101"/>
      <c r="S24" s="101"/>
    </row>
    <row r="25" spans="1:19" ht="18" customHeight="1">
      <c r="A25" s="197" t="s">
        <v>28</v>
      </c>
      <c r="B25" s="103"/>
      <c r="C25" s="303">
        <f>IF(E15="Choisir",0,('Répartition financière'!G10+'Répartition financière'!G11+'Répartition financière'!G12+'Répartition financière'!G13+'Répartition financière'!G14+'Répartition financière'!G15+'Répartition financière'!G16))</f>
        <v>0</v>
      </c>
      <c r="D25" s="304">
        <f>SUM('Répartition financière'!G9)</f>
        <v>0</v>
      </c>
      <c r="E25" s="303">
        <f>SUM('Répartition financière'!G17)</f>
        <v>0</v>
      </c>
      <c r="F25" s="301">
        <f>SUM(C25:E25)</f>
        <v>0</v>
      </c>
      <c r="H25" s="12"/>
      <c r="I25" s="12"/>
      <c r="J25" s="12"/>
      <c r="K25" s="12"/>
      <c r="L25" s="12"/>
      <c r="M25" s="12"/>
      <c r="N25" s="12"/>
    </row>
    <row r="26" spans="1:19" ht="18" customHeight="1">
      <c r="A26" s="197" t="s">
        <v>29</v>
      </c>
      <c r="B26" s="103"/>
      <c r="C26" s="304">
        <f>SUM('Répartition financière'!G29)</f>
        <v>0</v>
      </c>
      <c r="D26" s="304">
        <f>SUM('Répartition financière'!G28)</f>
        <v>0</v>
      </c>
      <c r="E26" s="304">
        <f>SUM('Répartition financière'!G30)</f>
        <v>0</v>
      </c>
      <c r="F26" s="301">
        <f>SUM(C26:E26)</f>
        <v>0</v>
      </c>
      <c r="H26" s="12"/>
      <c r="I26" s="12"/>
      <c r="J26" s="12"/>
      <c r="K26" s="12"/>
      <c r="L26" s="12"/>
      <c r="M26" s="12"/>
      <c r="N26" s="12"/>
    </row>
    <row r="27" spans="1:19" ht="18" customHeight="1">
      <c r="A27" s="197" t="s">
        <v>30</v>
      </c>
      <c r="B27" s="103"/>
      <c r="C27" s="303">
        <f>IF(E15="Choisir",0,('Répartition financière'!C36+'Répartition financière'!D36+'Répartition financière'!E36+'Répartition financière'!F36))</f>
        <v>0</v>
      </c>
      <c r="D27" s="303">
        <f>'Répartition financière'!G35</f>
        <v>0</v>
      </c>
      <c r="E27" s="303">
        <f>'Répartition financière'!G37</f>
        <v>0</v>
      </c>
      <c r="F27" s="301">
        <f>SUM(C27:E27)</f>
        <v>0</v>
      </c>
      <c r="G27" s="503" t="str">
        <f>IF(C27="*","ATTENTION : Co-financement obligatoire - Onglet Répartition financière","")</f>
        <v/>
      </c>
      <c r="H27" s="12"/>
      <c r="I27" s="12"/>
      <c r="J27" s="12"/>
      <c r="K27" s="12"/>
      <c r="L27" s="12"/>
      <c r="M27" s="12"/>
      <c r="N27" s="12"/>
    </row>
    <row r="28" spans="1:19" ht="18" customHeight="1" thickBot="1">
      <c r="A28" s="198"/>
      <c r="B28" s="104" t="s">
        <v>219</v>
      </c>
      <c r="C28" s="305">
        <f>SUM(C26:C27)</f>
        <v>0</v>
      </c>
      <c r="D28" s="305">
        <f>SUM(D26:D27)</f>
        <v>0</v>
      </c>
      <c r="E28" s="305">
        <f>SUM(E26:E27)</f>
        <v>0</v>
      </c>
      <c r="F28" s="302">
        <f>SUM(C28:E28)</f>
        <v>0</v>
      </c>
      <c r="G28" s="503"/>
      <c r="H28" s="12"/>
      <c r="I28" s="12"/>
      <c r="J28" s="12"/>
      <c r="K28" s="12"/>
      <c r="L28" s="12"/>
      <c r="M28" s="12"/>
      <c r="N28" s="12"/>
    </row>
    <row r="29" spans="1:19" s="267" customFormat="1" ht="10.199999999999999">
      <c r="A29" s="544"/>
      <c r="B29" s="545"/>
      <c r="C29" s="545"/>
      <c r="D29" s="545"/>
      <c r="E29" s="545"/>
      <c r="F29" s="546"/>
      <c r="G29" s="503"/>
      <c r="H29" s="264"/>
      <c r="I29" s="264"/>
      <c r="J29" s="264"/>
      <c r="K29" s="264"/>
      <c r="L29" s="264"/>
      <c r="M29" s="264"/>
      <c r="N29" s="264"/>
      <c r="O29" s="265"/>
      <c r="P29" s="265"/>
      <c r="Q29" s="265"/>
      <c r="R29" s="266"/>
      <c r="S29" s="266"/>
    </row>
    <row r="30" spans="1:19" s="2" customFormat="1" ht="15" customHeight="1">
      <c r="A30" s="534" t="s">
        <v>152</v>
      </c>
      <c r="B30" s="535"/>
      <c r="C30" s="535"/>
      <c r="D30" s="535"/>
      <c r="E30" s="535"/>
      <c r="F30" s="536"/>
      <c r="G30" s="503"/>
      <c r="H30" s="26"/>
      <c r="I30" s="26"/>
      <c r="J30" s="26"/>
      <c r="K30" s="26"/>
      <c r="L30" s="26"/>
      <c r="M30" s="26"/>
      <c r="N30" s="26"/>
      <c r="O30" s="8"/>
      <c r="P30" s="8"/>
      <c r="Q30" s="8"/>
      <c r="R30" s="4"/>
      <c r="S30" s="4"/>
    </row>
    <row r="31" spans="1:19" s="2" customFormat="1" ht="15" customHeight="1">
      <c r="A31" s="199" t="s">
        <v>153</v>
      </c>
      <c r="B31" s="108"/>
      <c r="C31" s="108"/>
      <c r="D31" s="108"/>
      <c r="E31" s="108"/>
      <c r="F31" s="200"/>
      <c r="G31" s="450"/>
      <c r="O31" s="8"/>
      <c r="P31" s="8"/>
      <c r="Q31" s="8"/>
      <c r="R31" s="4"/>
      <c r="S31" s="4"/>
    </row>
    <row r="32" spans="1:19" ht="18" customHeight="1">
      <c r="A32" s="201" t="s">
        <v>154</v>
      </c>
      <c r="B32" s="548"/>
      <c r="C32" s="548"/>
      <c r="D32" s="543" t="s">
        <v>156</v>
      </c>
      <c r="E32" s="543"/>
      <c r="F32" s="552"/>
      <c r="H32" s="27"/>
      <c r="I32" s="27"/>
      <c r="J32" s="27"/>
      <c r="K32" s="27"/>
      <c r="L32" s="27"/>
      <c r="M32" s="27"/>
      <c r="N32" s="27"/>
    </row>
    <row r="33" spans="1:19" ht="18" customHeight="1">
      <c r="A33" s="201" t="s">
        <v>155</v>
      </c>
      <c r="B33" s="551">
        <f ca="1">TODAY()</f>
        <v>45741</v>
      </c>
      <c r="C33" s="551"/>
      <c r="D33" s="549" t="str">
        <f>IF(C6="","",C6)</f>
        <v/>
      </c>
      <c r="E33" s="549"/>
      <c r="F33" s="550"/>
      <c r="H33" s="25"/>
      <c r="I33" s="25"/>
      <c r="J33" s="25"/>
      <c r="K33" s="25"/>
      <c r="L33" s="25"/>
      <c r="M33" s="25"/>
      <c r="N33" s="25"/>
    </row>
    <row r="34" spans="1:19" ht="18" customHeight="1">
      <c r="A34" s="542"/>
      <c r="B34" s="543"/>
      <c r="C34" s="543"/>
      <c r="D34" s="549"/>
      <c r="E34" s="549"/>
      <c r="F34" s="550"/>
      <c r="H34" s="25"/>
      <c r="I34" s="25"/>
      <c r="J34" s="25"/>
      <c r="K34" s="25"/>
      <c r="L34" s="25"/>
      <c r="M34" s="25"/>
      <c r="N34" s="25"/>
    </row>
    <row r="35" spans="1:19" ht="18" customHeight="1">
      <c r="A35" s="542"/>
      <c r="B35" s="543"/>
      <c r="C35" s="543"/>
      <c r="D35" s="549"/>
      <c r="E35" s="549"/>
      <c r="F35" s="550"/>
    </row>
    <row r="36" spans="1:19" ht="18" customHeight="1">
      <c r="A36" s="542"/>
      <c r="B36" s="543"/>
      <c r="C36" s="543"/>
      <c r="D36" s="549"/>
      <c r="E36" s="549"/>
      <c r="F36" s="550"/>
    </row>
    <row r="37" spans="1:19" ht="18" customHeight="1">
      <c r="A37" s="542"/>
      <c r="B37" s="543"/>
      <c r="C37" s="543"/>
      <c r="D37" s="549"/>
      <c r="E37" s="549"/>
      <c r="F37" s="550"/>
    </row>
    <row r="38" spans="1:19" s="28" customFormat="1" ht="18" customHeight="1">
      <c r="A38" s="540" t="s">
        <v>369</v>
      </c>
      <c r="B38" s="541"/>
      <c r="C38" s="541"/>
      <c r="D38" s="541" t="s">
        <v>341</v>
      </c>
      <c r="E38" s="541"/>
      <c r="F38" s="547"/>
      <c r="G38" s="89"/>
      <c r="H38" s="422"/>
      <c r="I38" s="422"/>
      <c r="J38" s="422"/>
      <c r="K38" s="422"/>
      <c r="L38" s="422"/>
      <c r="M38" s="422"/>
      <c r="N38" s="422"/>
      <c r="O38" s="7"/>
      <c r="P38" s="7"/>
      <c r="Q38" s="7"/>
      <c r="R38" s="7"/>
      <c r="S38" s="7"/>
    </row>
    <row r="39" spans="1:19" s="7" customFormat="1" hidden="1"/>
    <row r="40" spans="1:19" s="7" customFormat="1" hidden="1">
      <c r="A40" s="7" t="s">
        <v>228</v>
      </c>
      <c r="B40" s="553" t="s">
        <v>141</v>
      </c>
      <c r="C40" s="553"/>
      <c r="G40" s="7" t="s">
        <v>31</v>
      </c>
    </row>
    <row r="41" spans="1:19" s="7" customFormat="1" hidden="1">
      <c r="A41" s="7" t="s">
        <v>418</v>
      </c>
      <c r="B41" s="553" t="s">
        <v>244</v>
      </c>
      <c r="C41" s="553"/>
      <c r="G41" s="452" t="s">
        <v>479</v>
      </c>
      <c r="H41" s="453">
        <v>195.4</v>
      </c>
      <c r="I41" s="452" t="str">
        <f>IF(H41&gt;1000,"Panel 1 : établissement de plus de 1 000 agents",IF(AND(H41&lt;1000,H41&gt;300),"Panel 2 : établissement de 300 à 1 000 agents","Panel 3 : établissement de moins de 300 agents"))</f>
        <v>Panel 3 : établissement de moins de 300 agents</v>
      </c>
      <c r="J41" s="454"/>
      <c r="K41" s="452"/>
    </row>
    <row r="42" spans="1:19" s="7" customFormat="1" hidden="1">
      <c r="A42" s="7" t="s">
        <v>254</v>
      </c>
      <c r="B42" s="553" t="s">
        <v>245</v>
      </c>
      <c r="C42" s="553"/>
      <c r="G42" s="452" t="s">
        <v>480</v>
      </c>
      <c r="H42" s="453">
        <v>60.75</v>
      </c>
      <c r="I42" s="452" t="str">
        <f t="shared" ref="I42:I105" si="0">IF(H42&gt;1000,"Panel 1 : établissement de plus de 1 000 agents",IF(AND(H42&lt;1000,H42&gt;300),"Panel 2 : établissement de 300 à 1 000 agents","Panel 3 : établissement de moins de 300 agents"))</f>
        <v>Panel 3 : établissement de moins de 300 agents</v>
      </c>
      <c r="J42" s="454"/>
      <c r="K42" s="452"/>
    </row>
    <row r="43" spans="1:19" s="7" customFormat="1" hidden="1">
      <c r="A43" s="7" t="s">
        <v>255</v>
      </c>
      <c r="G43" s="452" t="s">
        <v>32</v>
      </c>
      <c r="H43" s="453">
        <v>138.69</v>
      </c>
      <c r="I43" s="452" t="str">
        <f t="shared" si="0"/>
        <v>Panel 3 : établissement de moins de 300 agents</v>
      </c>
      <c r="J43" s="454"/>
      <c r="K43" s="452"/>
    </row>
    <row r="44" spans="1:19" s="7" customFormat="1" hidden="1">
      <c r="A44" s="7" t="s">
        <v>256</v>
      </c>
      <c r="B44" s="7" t="s">
        <v>141</v>
      </c>
      <c r="G44" s="452" t="s">
        <v>33</v>
      </c>
      <c r="H44" s="453">
        <v>795.6</v>
      </c>
      <c r="I44" s="452" t="str">
        <f t="shared" si="0"/>
        <v>Panel 2 : établissement de 300 à 1 000 agents</v>
      </c>
      <c r="J44" s="454"/>
      <c r="K44" s="452"/>
    </row>
    <row r="45" spans="1:19" s="7" customFormat="1" hidden="1">
      <c r="A45" s="7" t="s">
        <v>257</v>
      </c>
      <c r="B45" s="7" t="s">
        <v>232</v>
      </c>
      <c r="G45" s="452" t="s">
        <v>34</v>
      </c>
      <c r="H45" s="453">
        <v>134.31</v>
      </c>
      <c r="I45" s="452" t="str">
        <f t="shared" si="0"/>
        <v>Panel 3 : établissement de moins de 300 agents</v>
      </c>
      <c r="J45" s="454"/>
      <c r="K45" s="452"/>
    </row>
    <row r="46" spans="1:19" s="7" customFormat="1" hidden="1">
      <c r="A46" s="7" t="s">
        <v>258</v>
      </c>
      <c r="B46" s="7" t="s">
        <v>233</v>
      </c>
      <c r="G46" s="452" t="s">
        <v>35</v>
      </c>
      <c r="H46" s="453">
        <v>88</v>
      </c>
      <c r="I46" s="452" t="str">
        <f t="shared" si="0"/>
        <v>Panel 3 : établissement de moins de 300 agents</v>
      </c>
      <c r="J46" s="454"/>
      <c r="K46" s="452"/>
    </row>
    <row r="47" spans="1:19" s="7" customFormat="1" hidden="1">
      <c r="A47" s="7" t="s">
        <v>259</v>
      </c>
      <c r="G47" s="452" t="s">
        <v>36</v>
      </c>
      <c r="H47" s="453">
        <v>136</v>
      </c>
      <c r="I47" s="452" t="str">
        <f t="shared" si="0"/>
        <v>Panel 3 : établissement de moins de 300 agents</v>
      </c>
      <c r="J47" s="454"/>
      <c r="K47" s="452"/>
    </row>
    <row r="48" spans="1:19" s="7" customFormat="1" hidden="1">
      <c r="A48" s="7" t="s">
        <v>260</v>
      </c>
      <c r="B48" s="7" t="s">
        <v>141</v>
      </c>
      <c r="G48" s="452" t="s">
        <v>37</v>
      </c>
      <c r="H48" s="453">
        <v>70.099999999999994</v>
      </c>
      <c r="I48" s="452" t="str">
        <f t="shared" si="0"/>
        <v>Panel 3 : établissement de moins de 300 agents</v>
      </c>
      <c r="J48" s="454"/>
      <c r="K48" s="452"/>
    </row>
    <row r="49" spans="1:11" s="7" customFormat="1" hidden="1">
      <c r="A49" s="7" t="s">
        <v>261</v>
      </c>
      <c r="B49" s="7" t="s">
        <v>244</v>
      </c>
      <c r="G49" s="452" t="s">
        <v>38</v>
      </c>
      <c r="H49" s="453">
        <v>77.61</v>
      </c>
      <c r="I49" s="452" t="str">
        <f t="shared" si="0"/>
        <v>Panel 3 : établissement de moins de 300 agents</v>
      </c>
      <c r="J49" s="454"/>
      <c r="K49" s="452"/>
    </row>
    <row r="50" spans="1:11" s="7" customFormat="1" hidden="1">
      <c r="A50" s="7" t="s">
        <v>262</v>
      </c>
      <c r="B50" s="7" t="s">
        <v>245</v>
      </c>
      <c r="G50" s="452" t="s">
        <v>39</v>
      </c>
      <c r="H50" s="453">
        <v>157.52000000000001</v>
      </c>
      <c r="I50" s="452" t="str">
        <f t="shared" si="0"/>
        <v>Panel 3 : établissement de moins de 300 agents</v>
      </c>
      <c r="J50" s="454"/>
      <c r="K50" s="452"/>
    </row>
    <row r="51" spans="1:11" s="7" customFormat="1" hidden="1">
      <c r="A51" s="7" t="s">
        <v>263</v>
      </c>
      <c r="G51" s="452" t="s">
        <v>40</v>
      </c>
      <c r="H51" s="453">
        <v>193.41</v>
      </c>
      <c r="I51" s="452" t="str">
        <f t="shared" si="0"/>
        <v>Panel 3 : établissement de moins de 300 agents</v>
      </c>
      <c r="J51" s="454"/>
      <c r="K51" s="452"/>
    </row>
    <row r="52" spans="1:11" s="7" customFormat="1" hidden="1">
      <c r="A52" s="7" t="s">
        <v>264</v>
      </c>
      <c r="B52" s="553" t="s">
        <v>243</v>
      </c>
      <c r="C52" s="553"/>
      <c r="D52" s="553"/>
      <c r="G52" s="452" t="s">
        <v>41</v>
      </c>
      <c r="H52" s="453">
        <v>62</v>
      </c>
      <c r="I52" s="452" t="str">
        <f t="shared" si="0"/>
        <v>Panel 3 : établissement de moins de 300 agents</v>
      </c>
      <c r="J52" s="454"/>
      <c r="K52" s="452"/>
    </row>
    <row r="53" spans="1:11" s="7" customFormat="1" hidden="1">
      <c r="A53" s="7" t="s">
        <v>265</v>
      </c>
      <c r="B53" s="553" t="s">
        <v>331</v>
      </c>
      <c r="C53" s="553"/>
      <c r="D53" s="553"/>
      <c r="G53" s="452" t="s">
        <v>42</v>
      </c>
      <c r="H53" s="453">
        <v>43.3</v>
      </c>
      <c r="I53" s="452" t="str">
        <f t="shared" si="0"/>
        <v>Panel 3 : établissement de moins de 300 agents</v>
      </c>
      <c r="J53" s="454"/>
      <c r="K53" s="452"/>
    </row>
    <row r="54" spans="1:11" s="7" customFormat="1" hidden="1">
      <c r="A54" s="7" t="s">
        <v>266</v>
      </c>
      <c r="B54" s="553" t="s">
        <v>332</v>
      </c>
      <c r="C54" s="553"/>
      <c r="D54" s="553"/>
      <c r="G54" s="452" t="s">
        <v>43</v>
      </c>
      <c r="H54" s="453">
        <v>73.849999999999994</v>
      </c>
      <c r="I54" s="452" t="str">
        <f t="shared" si="0"/>
        <v>Panel 3 : établissement de moins de 300 agents</v>
      </c>
      <c r="J54" s="454"/>
      <c r="K54" s="452"/>
    </row>
    <row r="55" spans="1:11" s="7" customFormat="1" hidden="1">
      <c r="A55" s="7" t="s">
        <v>267</v>
      </c>
      <c r="B55" s="553" t="s">
        <v>434</v>
      </c>
      <c r="C55" s="553"/>
      <c r="D55" s="553"/>
      <c r="G55" s="452" t="s">
        <v>44</v>
      </c>
      <c r="H55" s="453">
        <v>59.85</v>
      </c>
      <c r="I55" s="452" t="str">
        <f t="shared" si="0"/>
        <v>Panel 3 : établissement de moins de 300 agents</v>
      </c>
      <c r="J55" s="454"/>
      <c r="K55" s="452"/>
    </row>
    <row r="56" spans="1:11" s="7" customFormat="1" hidden="1">
      <c r="A56" s="7" t="s">
        <v>268</v>
      </c>
      <c r="B56" s="553" t="s">
        <v>356</v>
      </c>
      <c r="C56" s="553"/>
      <c r="D56" s="553"/>
      <c r="G56" s="452" t="s">
        <v>45</v>
      </c>
      <c r="H56" s="453">
        <v>87.03</v>
      </c>
      <c r="I56" s="452" t="str">
        <f t="shared" si="0"/>
        <v>Panel 3 : établissement de moins de 300 agents</v>
      </c>
      <c r="J56" s="454"/>
      <c r="K56" s="452"/>
    </row>
    <row r="57" spans="1:11" s="7" customFormat="1" hidden="1">
      <c r="A57" s="7" t="s">
        <v>269</v>
      </c>
      <c r="B57" s="553" t="s">
        <v>435</v>
      </c>
      <c r="C57" s="553"/>
      <c r="D57" s="553"/>
      <c r="G57" s="452" t="s">
        <v>502</v>
      </c>
      <c r="H57" s="453">
        <v>448.88</v>
      </c>
      <c r="I57" s="452" t="str">
        <f t="shared" si="0"/>
        <v>Panel 2 : établissement de 300 à 1 000 agents</v>
      </c>
      <c r="J57" s="454"/>
      <c r="K57" s="452"/>
    </row>
    <row r="58" spans="1:11" s="7" customFormat="1" hidden="1">
      <c r="A58" s="7" t="s">
        <v>270</v>
      </c>
      <c r="B58" s="553" t="s">
        <v>436</v>
      </c>
      <c r="C58" s="553"/>
      <c r="D58" s="553"/>
      <c r="G58" s="452" t="s">
        <v>46</v>
      </c>
      <c r="H58" s="453">
        <v>52</v>
      </c>
      <c r="I58" s="452" t="str">
        <f t="shared" si="0"/>
        <v>Panel 3 : établissement de moins de 300 agents</v>
      </c>
      <c r="J58" s="454"/>
      <c r="K58" s="452"/>
    </row>
    <row r="59" spans="1:11" s="7" customFormat="1" hidden="1">
      <c r="A59" s="7" t="s">
        <v>271</v>
      </c>
      <c r="B59" s="553" t="s">
        <v>437</v>
      </c>
      <c r="C59" s="553"/>
      <c r="D59" s="553"/>
      <c r="G59" s="452" t="s">
        <v>47</v>
      </c>
      <c r="H59" s="453">
        <v>67.2</v>
      </c>
      <c r="I59" s="452" t="str">
        <f t="shared" si="0"/>
        <v>Panel 3 : établissement de moins de 300 agents</v>
      </c>
      <c r="J59" s="454"/>
      <c r="K59" s="452"/>
    </row>
    <row r="60" spans="1:11" s="7" customFormat="1" hidden="1">
      <c r="A60" s="7" t="s">
        <v>272</v>
      </c>
      <c r="B60" s="553" t="s">
        <v>334</v>
      </c>
      <c r="C60" s="553"/>
      <c r="D60" s="553"/>
      <c r="G60" s="452" t="s">
        <v>48</v>
      </c>
      <c r="H60" s="453">
        <v>842.8</v>
      </c>
      <c r="I60" s="452" t="str">
        <f t="shared" si="0"/>
        <v>Panel 2 : établissement de 300 à 1 000 agents</v>
      </c>
      <c r="J60" s="454"/>
      <c r="K60" s="452"/>
    </row>
    <row r="61" spans="1:11" s="7" customFormat="1" hidden="1">
      <c r="A61" s="7" t="s">
        <v>273</v>
      </c>
      <c r="B61" s="553" t="s">
        <v>359</v>
      </c>
      <c r="C61" s="553"/>
      <c r="D61" s="553"/>
      <c r="G61" s="452" t="s">
        <v>49</v>
      </c>
      <c r="H61" s="453">
        <v>90.6</v>
      </c>
      <c r="I61" s="452" t="str">
        <f t="shared" si="0"/>
        <v>Panel 3 : établissement de moins de 300 agents</v>
      </c>
      <c r="J61" s="454"/>
      <c r="K61" s="452"/>
    </row>
    <row r="62" spans="1:11" s="7" customFormat="1" hidden="1">
      <c r="A62" s="7" t="s">
        <v>274</v>
      </c>
      <c r="B62" s="553" t="s">
        <v>439</v>
      </c>
      <c r="C62" s="553"/>
      <c r="D62" s="553"/>
      <c r="G62" s="452" t="s">
        <v>234</v>
      </c>
      <c r="H62" s="453">
        <v>83.07</v>
      </c>
      <c r="I62" s="452" t="str">
        <f t="shared" si="0"/>
        <v>Panel 3 : établissement de moins de 300 agents</v>
      </c>
      <c r="J62" s="454"/>
      <c r="K62" s="452"/>
    </row>
    <row r="63" spans="1:11" s="7" customFormat="1" hidden="1">
      <c r="A63" s="7" t="s">
        <v>275</v>
      </c>
      <c r="B63" s="553" t="s">
        <v>335</v>
      </c>
      <c r="C63" s="553"/>
      <c r="D63" s="553"/>
      <c r="G63" s="452" t="s">
        <v>50</v>
      </c>
      <c r="H63" s="453">
        <v>57</v>
      </c>
      <c r="I63" s="452" t="str">
        <f t="shared" si="0"/>
        <v>Panel 3 : établissement de moins de 300 agents</v>
      </c>
      <c r="J63" s="454"/>
      <c r="K63" s="452"/>
    </row>
    <row r="64" spans="1:11" s="7" customFormat="1" hidden="1">
      <c r="A64" s="7" t="s">
        <v>276</v>
      </c>
      <c r="B64" s="553" t="s">
        <v>438</v>
      </c>
      <c r="C64" s="553"/>
      <c r="D64" s="553"/>
      <c r="G64" s="452" t="s">
        <v>51</v>
      </c>
      <c r="H64" s="453">
        <v>265.7</v>
      </c>
      <c r="I64" s="452" t="str">
        <f t="shared" si="0"/>
        <v>Panel 3 : établissement de moins de 300 agents</v>
      </c>
      <c r="J64" s="454"/>
      <c r="K64" s="452"/>
    </row>
    <row r="65" spans="1:11" s="7" customFormat="1" hidden="1">
      <c r="A65" s="7" t="s">
        <v>277</v>
      </c>
      <c r="B65" s="553" t="s">
        <v>415</v>
      </c>
      <c r="C65" s="553"/>
      <c r="D65" s="553"/>
      <c r="G65" s="452" t="s">
        <v>52</v>
      </c>
      <c r="H65" s="453">
        <v>2673.31</v>
      </c>
      <c r="I65" s="452" t="str">
        <f t="shared" si="0"/>
        <v>Panel 1 : établissement de plus de 1 000 agents</v>
      </c>
      <c r="J65" s="454"/>
      <c r="K65" s="452"/>
    </row>
    <row r="66" spans="1:11" s="7" customFormat="1" hidden="1">
      <c r="A66" s="7" t="s">
        <v>278</v>
      </c>
      <c r="B66" s="553" t="s">
        <v>416</v>
      </c>
      <c r="C66" s="553"/>
      <c r="D66" s="553"/>
      <c r="G66" s="452" t="s">
        <v>53</v>
      </c>
      <c r="H66" s="453">
        <v>82</v>
      </c>
      <c r="I66" s="452" t="str">
        <f t="shared" si="0"/>
        <v>Panel 3 : établissement de moins de 300 agents</v>
      </c>
      <c r="J66" s="454"/>
      <c r="K66" s="452"/>
    </row>
    <row r="67" spans="1:11" s="7" customFormat="1" hidden="1">
      <c r="A67" s="7" t="s">
        <v>279</v>
      </c>
      <c r="B67" s="553" t="s">
        <v>417</v>
      </c>
      <c r="C67" s="553"/>
      <c r="D67" s="553"/>
      <c r="G67" s="452" t="s">
        <v>54</v>
      </c>
      <c r="H67" s="453">
        <v>254.35</v>
      </c>
      <c r="I67" s="452" t="str">
        <f t="shared" si="0"/>
        <v>Panel 3 : établissement de moins de 300 agents</v>
      </c>
      <c r="J67" s="454"/>
      <c r="K67" s="452"/>
    </row>
    <row r="68" spans="1:11" s="7" customFormat="1" hidden="1">
      <c r="A68" s="7" t="s">
        <v>280</v>
      </c>
      <c r="G68" s="452" t="s">
        <v>55</v>
      </c>
      <c r="H68" s="453">
        <v>71.180000000000007</v>
      </c>
      <c r="I68" s="452" t="str">
        <f t="shared" si="0"/>
        <v>Panel 3 : établissement de moins de 300 agents</v>
      </c>
      <c r="J68" s="454"/>
      <c r="K68" s="452"/>
    </row>
    <row r="69" spans="1:11" s="7" customFormat="1" hidden="1">
      <c r="A69" s="7" t="s">
        <v>281</v>
      </c>
      <c r="B69" s="7" t="s">
        <v>444</v>
      </c>
      <c r="G69" s="452" t="s">
        <v>56</v>
      </c>
      <c r="H69" s="453">
        <v>563.41</v>
      </c>
      <c r="I69" s="452" t="str">
        <f t="shared" si="0"/>
        <v>Panel 2 : établissement de 300 à 1 000 agents</v>
      </c>
      <c r="J69" s="454"/>
      <c r="K69" s="452"/>
    </row>
    <row r="70" spans="1:11" s="7" customFormat="1" hidden="1">
      <c r="A70" s="7" t="s">
        <v>282</v>
      </c>
      <c r="B70" s="7" t="s">
        <v>245</v>
      </c>
      <c r="G70" s="452" t="s">
        <v>57</v>
      </c>
      <c r="H70" s="453">
        <v>74.959999999999994</v>
      </c>
      <c r="I70" s="452" t="str">
        <f t="shared" si="0"/>
        <v>Panel 3 : établissement de moins de 300 agents</v>
      </c>
      <c r="J70" s="454"/>
      <c r="K70" s="452"/>
    </row>
    <row r="71" spans="1:11" s="7" customFormat="1" hidden="1">
      <c r="A71" s="7" t="s">
        <v>283</v>
      </c>
      <c r="B71" s="7" t="s">
        <v>503</v>
      </c>
      <c r="G71" s="452" t="s">
        <v>58</v>
      </c>
      <c r="H71" s="453">
        <v>88.85</v>
      </c>
      <c r="I71" s="452" t="str">
        <f t="shared" si="0"/>
        <v>Panel 3 : établissement de moins de 300 agents</v>
      </c>
      <c r="J71" s="454"/>
      <c r="K71" s="452"/>
    </row>
    <row r="72" spans="1:11" s="7" customFormat="1" hidden="1">
      <c r="A72" s="7" t="s">
        <v>284</v>
      </c>
      <c r="B72" s="7" t="s">
        <v>504</v>
      </c>
      <c r="G72" s="452" t="s">
        <v>59</v>
      </c>
      <c r="H72" s="453">
        <v>66.8</v>
      </c>
      <c r="I72" s="452" t="str">
        <f t="shared" si="0"/>
        <v>Panel 3 : établissement de moins de 300 agents</v>
      </c>
      <c r="J72" s="454"/>
      <c r="K72" s="452"/>
    </row>
    <row r="73" spans="1:11" s="7" customFormat="1" hidden="1">
      <c r="A73" s="7" t="s">
        <v>285</v>
      </c>
      <c r="G73" s="452" t="s">
        <v>60</v>
      </c>
      <c r="H73" s="453">
        <v>36.200000000000003</v>
      </c>
      <c r="I73" s="452" t="str">
        <f t="shared" si="0"/>
        <v>Panel 3 : établissement de moins de 300 agents</v>
      </c>
      <c r="J73" s="454"/>
      <c r="K73" s="452"/>
    </row>
    <row r="74" spans="1:11" s="7" customFormat="1" hidden="1">
      <c r="A74" s="7" t="s">
        <v>286</v>
      </c>
      <c r="B74" s="7" t="s">
        <v>141</v>
      </c>
      <c r="G74" s="452" t="s">
        <v>481</v>
      </c>
      <c r="H74" s="453">
        <v>789.91</v>
      </c>
      <c r="I74" s="452" t="str">
        <f t="shared" si="0"/>
        <v>Panel 2 : établissement de 300 à 1 000 agents</v>
      </c>
      <c r="J74" s="454"/>
      <c r="K74" s="452"/>
    </row>
    <row r="75" spans="1:11" s="7" customFormat="1" hidden="1">
      <c r="A75" s="7" t="s">
        <v>287</v>
      </c>
      <c r="B75" s="7" t="s">
        <v>338</v>
      </c>
      <c r="G75" s="452" t="s">
        <v>61</v>
      </c>
      <c r="H75" s="453">
        <v>170.52</v>
      </c>
      <c r="I75" s="452" t="str">
        <f t="shared" si="0"/>
        <v>Panel 3 : établissement de moins de 300 agents</v>
      </c>
      <c r="J75" s="454"/>
      <c r="K75" s="452"/>
    </row>
    <row r="76" spans="1:11" s="7" customFormat="1" hidden="1">
      <c r="A76" s="7" t="s">
        <v>288</v>
      </c>
      <c r="B76" s="90" t="s">
        <v>339</v>
      </c>
      <c r="G76" s="452" t="s">
        <v>62</v>
      </c>
      <c r="H76" s="453">
        <v>79.900000000000006</v>
      </c>
      <c r="I76" s="452" t="str">
        <f t="shared" si="0"/>
        <v>Panel 3 : établissement de moins de 300 agents</v>
      </c>
      <c r="J76" s="454"/>
      <c r="K76" s="452"/>
    </row>
    <row r="77" spans="1:11" s="7" customFormat="1" hidden="1">
      <c r="A77" s="7" t="s">
        <v>289</v>
      </c>
      <c r="G77" s="452" t="s">
        <v>63</v>
      </c>
      <c r="H77" s="453">
        <v>520.16</v>
      </c>
      <c r="I77" s="452" t="str">
        <f t="shared" si="0"/>
        <v>Panel 2 : établissement de 300 à 1 000 agents</v>
      </c>
      <c r="J77" s="454"/>
      <c r="K77" s="452"/>
    </row>
    <row r="78" spans="1:11" s="7" customFormat="1" hidden="1">
      <c r="A78" s="7" t="s">
        <v>290</v>
      </c>
      <c r="B78" s="553" t="s">
        <v>146</v>
      </c>
      <c r="C78" s="553"/>
      <c r="D78" s="553"/>
      <c r="E78" s="553"/>
      <c r="F78" s="553"/>
      <c r="G78" s="452" t="s">
        <v>64</v>
      </c>
      <c r="H78" s="453">
        <v>11368.06</v>
      </c>
      <c r="I78" s="452" t="str">
        <f t="shared" si="0"/>
        <v>Panel 1 : établissement de plus de 1 000 agents</v>
      </c>
      <c r="J78" s="454"/>
      <c r="K78" s="452"/>
    </row>
    <row r="79" spans="1:11" s="7" customFormat="1" hidden="1">
      <c r="A79" s="7" t="s">
        <v>291</v>
      </c>
      <c r="B79" s="553" t="s">
        <v>13</v>
      </c>
      <c r="C79" s="553"/>
      <c r="D79" s="553"/>
      <c r="E79" s="553"/>
      <c r="F79" s="553"/>
      <c r="G79" s="452" t="s">
        <v>65</v>
      </c>
      <c r="H79" s="453">
        <v>1775.25</v>
      </c>
      <c r="I79" s="452" t="str">
        <f t="shared" si="0"/>
        <v>Panel 1 : établissement de plus de 1 000 agents</v>
      </c>
      <c r="J79" s="454"/>
      <c r="K79" s="452"/>
    </row>
    <row r="80" spans="1:11" s="7" customFormat="1" hidden="1">
      <c r="A80" s="7" t="s">
        <v>292</v>
      </c>
      <c r="B80" s="553" t="s">
        <v>466</v>
      </c>
      <c r="C80" s="553"/>
      <c r="D80" s="553"/>
      <c r="E80" s="553"/>
      <c r="F80" s="553"/>
      <c r="G80" s="452" t="s">
        <v>66</v>
      </c>
      <c r="H80" s="453">
        <v>144.6</v>
      </c>
      <c r="I80" s="452" t="str">
        <f t="shared" si="0"/>
        <v>Panel 3 : établissement de moins de 300 agents</v>
      </c>
      <c r="J80" s="454"/>
      <c r="K80" s="452"/>
    </row>
    <row r="81" spans="1:11" s="7" customFormat="1" hidden="1">
      <c r="A81" s="7" t="s">
        <v>293</v>
      </c>
      <c r="B81" s="553" t="s">
        <v>467</v>
      </c>
      <c r="C81" s="553"/>
      <c r="D81" s="553"/>
      <c r="E81" s="553"/>
      <c r="F81" s="553"/>
      <c r="G81" s="452" t="s">
        <v>67</v>
      </c>
      <c r="H81" s="453">
        <v>1200.72</v>
      </c>
      <c r="I81" s="452" t="str">
        <f t="shared" si="0"/>
        <v>Panel 1 : établissement de plus de 1 000 agents</v>
      </c>
      <c r="J81" s="454"/>
      <c r="K81" s="452"/>
    </row>
    <row r="82" spans="1:11" s="7" customFormat="1" hidden="1">
      <c r="A82" s="7" t="s">
        <v>294</v>
      </c>
      <c r="B82" s="553" t="s">
        <v>23</v>
      </c>
      <c r="C82" s="553"/>
      <c r="D82" s="553"/>
      <c r="E82" s="553"/>
      <c r="F82" s="553"/>
      <c r="G82" s="452" t="s">
        <v>68</v>
      </c>
      <c r="H82" s="453">
        <v>53.18</v>
      </c>
      <c r="I82" s="452" t="str">
        <f t="shared" si="0"/>
        <v>Panel 3 : établissement de moins de 300 agents</v>
      </c>
      <c r="J82" s="454"/>
      <c r="K82" s="452"/>
    </row>
    <row r="83" spans="1:11" s="7" customFormat="1" hidden="1">
      <c r="A83" s="7" t="s">
        <v>295</v>
      </c>
      <c r="B83" s="553" t="s">
        <v>12</v>
      </c>
      <c r="C83" s="553"/>
      <c r="D83" s="553"/>
      <c r="E83" s="553"/>
      <c r="F83" s="553"/>
      <c r="G83" s="452" t="s">
        <v>69</v>
      </c>
      <c r="H83" s="453">
        <v>83.85</v>
      </c>
      <c r="I83" s="452" t="str">
        <f t="shared" si="0"/>
        <v>Panel 3 : établissement de moins de 300 agents</v>
      </c>
      <c r="J83" s="454"/>
      <c r="K83" s="452"/>
    </row>
    <row r="84" spans="1:11" s="7" customFormat="1" hidden="1">
      <c r="A84" s="7" t="s">
        <v>296</v>
      </c>
      <c r="B84" s="553" t="s">
        <v>11</v>
      </c>
      <c r="C84" s="553"/>
      <c r="D84" s="553"/>
      <c r="E84" s="553"/>
      <c r="F84" s="553"/>
      <c r="G84" s="452" t="s">
        <v>70</v>
      </c>
      <c r="H84" s="453">
        <v>71.680000000000007</v>
      </c>
      <c r="I84" s="452" t="str">
        <f t="shared" si="0"/>
        <v>Panel 3 : établissement de moins de 300 agents</v>
      </c>
      <c r="J84" s="454"/>
      <c r="K84" s="452"/>
    </row>
    <row r="85" spans="1:11" s="7" customFormat="1" hidden="1">
      <c r="A85" s="7" t="s">
        <v>297</v>
      </c>
      <c r="B85" s="553" t="s">
        <v>344</v>
      </c>
      <c r="C85" s="553"/>
      <c r="D85" s="553"/>
      <c r="E85" s="553"/>
      <c r="F85" s="553"/>
      <c r="G85" s="452" t="s">
        <v>71</v>
      </c>
      <c r="H85" s="453">
        <v>65.900000000000006</v>
      </c>
      <c r="I85" s="452" t="str">
        <f t="shared" si="0"/>
        <v>Panel 3 : établissement de moins de 300 agents</v>
      </c>
      <c r="J85" s="454"/>
      <c r="K85" s="452"/>
    </row>
    <row r="86" spans="1:11" s="7" customFormat="1" hidden="1">
      <c r="A86" s="7" t="s">
        <v>298</v>
      </c>
      <c r="B86" s="553" t="s">
        <v>5</v>
      </c>
      <c r="C86" s="553"/>
      <c r="D86" s="553"/>
      <c r="E86" s="553"/>
      <c r="F86" s="553"/>
      <c r="G86" s="452" t="s">
        <v>72</v>
      </c>
      <c r="H86" s="453">
        <v>85.4</v>
      </c>
      <c r="I86" s="452" t="str">
        <f t="shared" si="0"/>
        <v>Panel 3 : établissement de moins de 300 agents</v>
      </c>
      <c r="J86" s="454"/>
      <c r="K86" s="452"/>
    </row>
    <row r="87" spans="1:11" s="7" customFormat="1" hidden="1">
      <c r="A87" s="7" t="s">
        <v>299</v>
      </c>
      <c r="B87" s="553" t="s">
        <v>440</v>
      </c>
      <c r="C87" s="553"/>
      <c r="D87" s="553"/>
      <c r="E87" s="553"/>
      <c r="F87" s="553"/>
      <c r="G87" s="452" t="s">
        <v>73</v>
      </c>
      <c r="H87" s="453">
        <v>745.69</v>
      </c>
      <c r="I87" s="452" t="str">
        <f t="shared" si="0"/>
        <v>Panel 2 : établissement de 300 à 1 000 agents</v>
      </c>
      <c r="J87" s="454"/>
      <c r="K87" s="452"/>
    </row>
    <row r="88" spans="1:11" s="7" customFormat="1" hidden="1">
      <c r="A88" s="7" t="s">
        <v>300</v>
      </c>
      <c r="B88" s="553" t="s">
        <v>21</v>
      </c>
      <c r="C88" s="553"/>
      <c r="D88" s="553"/>
      <c r="E88" s="553"/>
      <c r="F88" s="553"/>
      <c r="G88" s="452" t="s">
        <v>74</v>
      </c>
      <c r="H88" s="453">
        <v>970.58</v>
      </c>
      <c r="I88" s="452" t="str">
        <f t="shared" si="0"/>
        <v>Panel 2 : établissement de 300 à 1 000 agents</v>
      </c>
      <c r="J88" s="454"/>
      <c r="K88" s="452"/>
    </row>
    <row r="89" spans="1:11" s="7" customFormat="1" hidden="1">
      <c r="A89" s="7" t="s">
        <v>301</v>
      </c>
      <c r="B89" s="553" t="s">
        <v>16</v>
      </c>
      <c r="C89" s="553"/>
      <c r="D89" s="553"/>
      <c r="E89" s="553"/>
      <c r="F89" s="553"/>
      <c r="G89" s="452" t="s">
        <v>75</v>
      </c>
      <c r="H89" s="453">
        <v>3139.66</v>
      </c>
      <c r="I89" s="452" t="str">
        <f t="shared" si="0"/>
        <v>Panel 1 : établissement de plus de 1 000 agents</v>
      </c>
      <c r="J89" s="454"/>
      <c r="K89" s="452"/>
    </row>
    <row r="90" spans="1:11" s="7" customFormat="1" hidden="1">
      <c r="A90" s="7" t="s">
        <v>302</v>
      </c>
      <c r="B90" s="553" t="s">
        <v>10</v>
      </c>
      <c r="C90" s="553"/>
      <c r="D90" s="553"/>
      <c r="E90" s="553"/>
      <c r="F90" s="553"/>
      <c r="G90" s="452" t="s">
        <v>482</v>
      </c>
      <c r="H90" s="453">
        <v>164.6</v>
      </c>
      <c r="I90" s="452" t="str">
        <f t="shared" si="0"/>
        <v>Panel 3 : établissement de moins de 300 agents</v>
      </c>
      <c r="J90" s="454"/>
      <c r="K90" s="452"/>
    </row>
    <row r="91" spans="1:11" s="7" customFormat="1" hidden="1">
      <c r="A91" s="7" t="s">
        <v>303</v>
      </c>
      <c r="B91" s="553" t="s">
        <v>343</v>
      </c>
      <c r="C91" s="553"/>
      <c r="D91" s="553"/>
      <c r="E91" s="553"/>
      <c r="F91" s="553"/>
      <c r="G91" s="452" t="s">
        <v>76</v>
      </c>
      <c r="H91" s="453">
        <v>64.989999999999995</v>
      </c>
      <c r="I91" s="452" t="str">
        <f t="shared" si="0"/>
        <v>Panel 3 : établissement de moins de 300 agents</v>
      </c>
      <c r="J91" s="454"/>
      <c r="K91" s="452"/>
    </row>
    <row r="92" spans="1:11" s="7" customFormat="1" hidden="1">
      <c r="B92" s="553" t="s">
        <v>4</v>
      </c>
      <c r="C92" s="553"/>
      <c r="D92" s="553"/>
      <c r="E92" s="553"/>
      <c r="F92" s="553"/>
      <c r="G92" s="452" t="s">
        <v>483</v>
      </c>
      <c r="H92" s="453">
        <v>186.89</v>
      </c>
      <c r="I92" s="452" t="str">
        <f t="shared" si="0"/>
        <v>Panel 3 : établissement de moins de 300 agents</v>
      </c>
      <c r="J92" s="454"/>
      <c r="K92" s="452"/>
    </row>
    <row r="93" spans="1:11" s="7" customFormat="1" hidden="1">
      <c r="B93" s="553" t="s">
        <v>1</v>
      </c>
      <c r="C93" s="553"/>
      <c r="D93" s="553"/>
      <c r="E93" s="553"/>
      <c r="F93" s="553"/>
      <c r="G93" s="452" t="s">
        <v>484</v>
      </c>
      <c r="H93" s="453">
        <v>175.5</v>
      </c>
      <c r="I93" s="452" t="str">
        <f t="shared" si="0"/>
        <v>Panel 3 : établissement de moins de 300 agents</v>
      </c>
      <c r="J93" s="454"/>
      <c r="K93" s="452"/>
    </row>
    <row r="94" spans="1:11" s="7" customFormat="1" hidden="1">
      <c r="B94" s="553" t="s">
        <v>2</v>
      </c>
      <c r="C94" s="553"/>
      <c r="D94" s="553"/>
      <c r="E94" s="553"/>
      <c r="F94" s="553"/>
      <c r="G94" s="452" t="s">
        <v>485</v>
      </c>
      <c r="H94" s="453">
        <v>399.5</v>
      </c>
      <c r="I94" s="452" t="str">
        <f t="shared" si="0"/>
        <v>Panel 2 : établissement de 300 à 1 000 agents</v>
      </c>
      <c r="J94" s="454"/>
      <c r="K94" s="452"/>
    </row>
    <row r="95" spans="1:11" s="7" customFormat="1" hidden="1">
      <c r="B95" s="553" t="s">
        <v>310</v>
      </c>
      <c r="C95" s="553"/>
      <c r="D95" s="553"/>
      <c r="E95" s="553"/>
      <c r="F95" s="553"/>
      <c r="G95" s="452" t="s">
        <v>486</v>
      </c>
      <c r="H95" s="453">
        <v>95.06</v>
      </c>
      <c r="I95" s="452" t="str">
        <f t="shared" si="0"/>
        <v>Panel 3 : établissement de moins de 300 agents</v>
      </c>
      <c r="J95" s="454"/>
      <c r="K95" s="452"/>
    </row>
    <row r="96" spans="1:11" s="7" customFormat="1" hidden="1">
      <c r="B96" s="553" t="s">
        <v>6</v>
      </c>
      <c r="C96" s="553"/>
      <c r="D96" s="553"/>
      <c r="E96" s="553"/>
      <c r="F96" s="553"/>
      <c r="G96" s="452" t="s">
        <v>77</v>
      </c>
      <c r="H96" s="453">
        <v>81.19</v>
      </c>
      <c r="I96" s="452" t="str">
        <f t="shared" si="0"/>
        <v>Panel 3 : établissement de moins de 300 agents</v>
      </c>
      <c r="J96" s="454"/>
      <c r="K96" s="452"/>
    </row>
    <row r="97" spans="2:11" s="7" customFormat="1" hidden="1">
      <c r="B97" s="553" t="s">
        <v>7</v>
      </c>
      <c r="C97" s="553"/>
      <c r="D97" s="553"/>
      <c r="E97" s="553"/>
      <c r="F97" s="553"/>
      <c r="G97" s="452" t="s">
        <v>78</v>
      </c>
      <c r="H97" s="453">
        <v>75.900000000000006</v>
      </c>
      <c r="I97" s="452" t="str">
        <f t="shared" si="0"/>
        <v>Panel 3 : établissement de moins de 300 agents</v>
      </c>
      <c r="J97" s="454"/>
      <c r="K97" s="452"/>
    </row>
    <row r="98" spans="2:11" s="7" customFormat="1" hidden="1">
      <c r="B98" s="553" t="s">
        <v>309</v>
      </c>
      <c r="C98" s="553"/>
      <c r="D98" s="553"/>
      <c r="E98" s="553"/>
      <c r="F98" s="553"/>
      <c r="G98" s="452" t="s">
        <v>79</v>
      </c>
      <c r="H98" s="453">
        <v>73.930000000000007</v>
      </c>
      <c r="I98" s="452" t="str">
        <f t="shared" si="0"/>
        <v>Panel 3 : établissement de moins de 300 agents</v>
      </c>
      <c r="J98" s="454"/>
      <c r="K98" s="452"/>
    </row>
    <row r="99" spans="2:11" s="7" customFormat="1" hidden="1">
      <c r="B99" s="553" t="s">
        <v>14</v>
      </c>
      <c r="C99" s="553"/>
      <c r="D99" s="553"/>
      <c r="E99" s="553"/>
      <c r="F99" s="553"/>
      <c r="G99" s="452" t="s">
        <v>80</v>
      </c>
      <c r="H99" s="453">
        <v>120.8</v>
      </c>
      <c r="I99" s="452" t="str">
        <f t="shared" si="0"/>
        <v>Panel 3 : établissement de moins de 300 agents</v>
      </c>
      <c r="J99" s="454"/>
      <c r="K99" s="452"/>
    </row>
    <row r="100" spans="2:11" s="7" customFormat="1" hidden="1">
      <c r="B100" s="553" t="s">
        <v>15</v>
      </c>
      <c r="C100" s="553"/>
      <c r="D100" s="553"/>
      <c r="E100" s="553"/>
      <c r="F100" s="553"/>
      <c r="G100" s="452" t="s">
        <v>81</v>
      </c>
      <c r="H100" s="453">
        <v>55.55</v>
      </c>
      <c r="I100" s="452" t="str">
        <f t="shared" si="0"/>
        <v>Panel 3 : établissement de moins de 300 agents</v>
      </c>
      <c r="J100" s="454"/>
      <c r="K100" s="452"/>
    </row>
    <row r="101" spans="2:11" s="7" customFormat="1" hidden="1">
      <c r="B101" s="553" t="s">
        <v>22</v>
      </c>
      <c r="C101" s="553"/>
      <c r="D101" s="553"/>
      <c r="E101" s="553"/>
      <c r="F101" s="553"/>
      <c r="G101" s="452" t="s">
        <v>82</v>
      </c>
      <c r="H101" s="453">
        <v>2107.3000000000002</v>
      </c>
      <c r="I101" s="452" t="str">
        <f t="shared" si="0"/>
        <v>Panel 1 : établissement de plus de 1 000 agents</v>
      </c>
      <c r="J101" s="454"/>
      <c r="K101" s="452"/>
    </row>
    <row r="102" spans="2:11" s="7" customFormat="1" hidden="1">
      <c r="B102" s="553" t="s">
        <v>17</v>
      </c>
      <c r="C102" s="553"/>
      <c r="D102" s="553"/>
      <c r="E102" s="553"/>
      <c r="F102" s="553"/>
      <c r="G102" s="452" t="s">
        <v>83</v>
      </c>
      <c r="H102" s="453">
        <v>70.599999999999994</v>
      </c>
      <c r="I102" s="452" t="str">
        <f t="shared" si="0"/>
        <v>Panel 3 : établissement de moins de 300 agents</v>
      </c>
      <c r="J102" s="454"/>
      <c r="K102" s="452"/>
    </row>
    <row r="103" spans="2:11" s="7" customFormat="1" hidden="1">
      <c r="B103" s="553" t="s">
        <v>18</v>
      </c>
      <c r="C103" s="553"/>
      <c r="D103" s="553"/>
      <c r="E103" s="553"/>
      <c r="F103" s="553"/>
      <c r="G103" s="452" t="s">
        <v>84</v>
      </c>
      <c r="H103" s="453">
        <v>80.900000000000006</v>
      </c>
      <c r="I103" s="452" t="str">
        <f t="shared" si="0"/>
        <v>Panel 3 : établissement de moins de 300 agents</v>
      </c>
      <c r="J103" s="454"/>
      <c r="K103" s="452"/>
    </row>
    <row r="104" spans="2:11" s="7" customFormat="1" hidden="1">
      <c r="B104" s="553" t="s">
        <v>19</v>
      </c>
      <c r="C104" s="553"/>
      <c r="D104" s="553"/>
      <c r="E104" s="553"/>
      <c r="F104" s="553"/>
      <c r="G104" s="452" t="s">
        <v>85</v>
      </c>
      <c r="H104" s="453">
        <v>40.700000000000003</v>
      </c>
      <c r="I104" s="452" t="str">
        <f t="shared" si="0"/>
        <v>Panel 3 : établissement de moins de 300 agents</v>
      </c>
      <c r="J104" s="454"/>
      <c r="K104" s="452"/>
    </row>
    <row r="105" spans="2:11" s="7" customFormat="1" hidden="1">
      <c r="B105" s="553" t="s">
        <v>20</v>
      </c>
      <c r="C105" s="553"/>
      <c r="D105" s="553"/>
      <c r="E105" s="553"/>
      <c r="F105" s="553"/>
      <c r="G105" s="452" t="s">
        <v>86</v>
      </c>
      <c r="H105" s="453">
        <v>2934.32</v>
      </c>
      <c r="I105" s="452" t="str">
        <f t="shared" si="0"/>
        <v>Panel 1 : établissement de plus de 1 000 agents</v>
      </c>
      <c r="J105" s="454"/>
      <c r="K105" s="452"/>
    </row>
    <row r="106" spans="2:11" s="7" customFormat="1" hidden="1">
      <c r="B106" s="553" t="s">
        <v>308</v>
      </c>
      <c r="C106" s="553"/>
      <c r="D106" s="553"/>
      <c r="E106" s="553"/>
      <c r="F106" s="553"/>
      <c r="G106" s="452" t="s">
        <v>87</v>
      </c>
      <c r="H106" s="453">
        <v>68.900000000000006</v>
      </c>
      <c r="I106" s="452" t="str">
        <f t="shared" ref="I106:I169" si="1">IF(H106&gt;1000,"Panel 1 : établissement de plus de 1 000 agents",IF(AND(H106&lt;1000,H106&gt;300),"Panel 2 : établissement de 300 à 1 000 agents","Panel 3 : établissement de moins de 300 agents"))</f>
        <v>Panel 3 : établissement de moins de 300 agents</v>
      </c>
      <c r="J106" s="454"/>
      <c r="K106" s="452"/>
    </row>
    <row r="107" spans="2:11" s="7" customFormat="1" hidden="1">
      <c r="B107" s="553" t="s">
        <v>8</v>
      </c>
      <c r="C107" s="553"/>
      <c r="D107" s="553"/>
      <c r="E107" s="553"/>
      <c r="F107" s="553"/>
      <c r="G107" s="452" t="s">
        <v>88</v>
      </c>
      <c r="H107" s="453">
        <v>124.55</v>
      </c>
      <c r="I107" s="452" t="str">
        <f t="shared" si="1"/>
        <v>Panel 3 : établissement de moins de 300 agents</v>
      </c>
      <c r="J107" s="454"/>
      <c r="K107" s="452"/>
    </row>
    <row r="108" spans="2:11" s="7" customFormat="1" hidden="1">
      <c r="B108" s="553" t="s">
        <v>9</v>
      </c>
      <c r="C108" s="553"/>
      <c r="D108" s="553"/>
      <c r="E108" s="553"/>
      <c r="F108" s="553"/>
      <c r="G108" s="452" t="s">
        <v>89</v>
      </c>
      <c r="H108" s="453">
        <v>54.05</v>
      </c>
      <c r="I108" s="452" t="str">
        <f t="shared" si="1"/>
        <v>Panel 3 : établissement de moins de 300 agents</v>
      </c>
      <c r="J108" s="454"/>
      <c r="K108" s="452"/>
    </row>
    <row r="109" spans="2:11" s="7" customFormat="1" hidden="1">
      <c r="B109" s="553" t="s">
        <v>3</v>
      </c>
      <c r="C109" s="553"/>
      <c r="D109" s="553"/>
      <c r="E109" s="553"/>
      <c r="F109" s="553"/>
      <c r="G109" s="452" t="s">
        <v>235</v>
      </c>
      <c r="H109" s="453">
        <v>117.17</v>
      </c>
      <c r="I109" s="452" t="str">
        <f t="shared" si="1"/>
        <v>Panel 3 : établissement de moins de 300 agents</v>
      </c>
      <c r="J109" s="454"/>
      <c r="K109" s="452"/>
    </row>
    <row r="110" spans="2:11" s="7" customFormat="1" hidden="1">
      <c r="B110" s="7" t="s">
        <v>141</v>
      </c>
      <c r="G110" s="452" t="s">
        <v>487</v>
      </c>
      <c r="H110" s="453">
        <v>53.03</v>
      </c>
      <c r="I110" s="452" t="str">
        <f t="shared" si="1"/>
        <v>Panel 3 : établissement de moins de 300 agents</v>
      </c>
      <c r="J110" s="454"/>
      <c r="K110" s="452"/>
    </row>
    <row r="111" spans="2:11" s="7" customFormat="1" hidden="1">
      <c r="B111" s="7" t="s">
        <v>382</v>
      </c>
      <c r="G111" s="452" t="s">
        <v>488</v>
      </c>
      <c r="H111" s="453">
        <v>160.69999999999999</v>
      </c>
      <c r="I111" s="452" t="str">
        <f t="shared" si="1"/>
        <v>Panel 3 : établissement de moins de 300 agents</v>
      </c>
      <c r="J111" s="454"/>
      <c r="K111" s="452"/>
    </row>
    <row r="112" spans="2:11" s="7" customFormat="1" hidden="1">
      <c r="B112" s="90" t="s">
        <v>384</v>
      </c>
      <c r="G112" s="452" t="s">
        <v>90</v>
      </c>
      <c r="H112" s="453">
        <v>77</v>
      </c>
      <c r="I112" s="452" t="str">
        <f t="shared" si="1"/>
        <v>Panel 3 : établissement de moins de 300 agents</v>
      </c>
      <c r="J112" s="454"/>
      <c r="K112" s="452"/>
    </row>
    <row r="113" spans="2:11" s="7" customFormat="1" hidden="1">
      <c r="B113" s="7" t="s">
        <v>385</v>
      </c>
      <c r="G113" s="452" t="s">
        <v>91</v>
      </c>
      <c r="H113" s="453">
        <v>96.4</v>
      </c>
      <c r="I113" s="452" t="str">
        <f t="shared" si="1"/>
        <v>Panel 3 : établissement de moins de 300 agents</v>
      </c>
      <c r="J113" s="454"/>
      <c r="K113" s="452"/>
    </row>
    <row r="114" spans="2:11" s="7" customFormat="1" hidden="1">
      <c r="B114" s="7" t="s">
        <v>386</v>
      </c>
      <c r="G114" s="452" t="s">
        <v>489</v>
      </c>
      <c r="H114" s="453">
        <v>99.4</v>
      </c>
      <c r="I114" s="452" t="str">
        <f t="shared" si="1"/>
        <v>Panel 3 : établissement de moins de 300 agents</v>
      </c>
      <c r="J114" s="454"/>
      <c r="K114" s="452"/>
    </row>
    <row r="115" spans="2:11" s="7" customFormat="1" hidden="1">
      <c r="B115" s="7" t="s">
        <v>387</v>
      </c>
      <c r="G115" s="452" t="s">
        <v>490</v>
      </c>
      <c r="H115" s="453">
        <v>1841</v>
      </c>
      <c r="I115" s="452" t="str">
        <f t="shared" si="1"/>
        <v>Panel 1 : établissement de plus de 1 000 agents</v>
      </c>
      <c r="J115" s="454"/>
      <c r="K115" s="452"/>
    </row>
    <row r="116" spans="2:11" s="7" customFormat="1" hidden="1">
      <c r="G116" s="452" t="s">
        <v>92</v>
      </c>
      <c r="H116" s="453">
        <v>95.3</v>
      </c>
      <c r="I116" s="452" t="str">
        <f t="shared" si="1"/>
        <v>Panel 3 : établissement de moins de 300 agents</v>
      </c>
      <c r="J116" s="454"/>
      <c r="K116" s="452"/>
    </row>
    <row r="117" spans="2:11" s="7" customFormat="1" hidden="1">
      <c r="G117" s="452" t="s">
        <v>93</v>
      </c>
      <c r="H117" s="453">
        <v>52.9</v>
      </c>
      <c r="I117" s="452" t="str">
        <f t="shared" si="1"/>
        <v>Panel 3 : établissement de moins de 300 agents</v>
      </c>
      <c r="J117" s="454"/>
      <c r="K117" s="452"/>
    </row>
    <row r="118" spans="2:11" s="7" customFormat="1" hidden="1">
      <c r="G118" s="452" t="s">
        <v>94</v>
      </c>
      <c r="H118" s="453">
        <v>71.7</v>
      </c>
      <c r="I118" s="452" t="str">
        <f t="shared" si="1"/>
        <v>Panel 3 : établissement de moins de 300 agents</v>
      </c>
      <c r="J118" s="454"/>
      <c r="K118" s="452"/>
    </row>
    <row r="119" spans="2:11" s="7" customFormat="1" hidden="1">
      <c r="G119" s="452" t="s">
        <v>95</v>
      </c>
      <c r="H119" s="453">
        <v>101.09</v>
      </c>
      <c r="I119" s="452" t="str">
        <f t="shared" si="1"/>
        <v>Panel 3 : établissement de moins de 300 agents</v>
      </c>
      <c r="J119" s="454"/>
      <c r="K119" s="452"/>
    </row>
    <row r="120" spans="2:11" s="7" customFormat="1" hidden="1">
      <c r="G120" s="452" t="s">
        <v>96</v>
      </c>
      <c r="H120" s="453">
        <v>84.25</v>
      </c>
      <c r="I120" s="452" t="str">
        <f t="shared" si="1"/>
        <v>Panel 3 : établissement de moins de 300 agents</v>
      </c>
      <c r="J120" s="454"/>
      <c r="K120" s="452"/>
    </row>
    <row r="121" spans="2:11" s="7" customFormat="1" hidden="1">
      <c r="G121" s="452" t="s">
        <v>97</v>
      </c>
      <c r="H121" s="453">
        <v>62.9</v>
      </c>
      <c r="I121" s="452" t="str">
        <f t="shared" si="1"/>
        <v>Panel 3 : établissement de moins de 300 agents</v>
      </c>
      <c r="J121" s="454"/>
      <c r="K121" s="452"/>
    </row>
    <row r="122" spans="2:11" s="7" customFormat="1" hidden="1">
      <c r="G122" s="452" t="s">
        <v>98</v>
      </c>
      <c r="H122" s="453">
        <v>42.04</v>
      </c>
      <c r="I122" s="452" t="str">
        <f t="shared" si="1"/>
        <v>Panel 3 : établissement de moins de 300 agents</v>
      </c>
      <c r="J122" s="454"/>
      <c r="K122" s="452"/>
    </row>
    <row r="123" spans="2:11" s="7" customFormat="1" hidden="1">
      <c r="G123" s="452" t="s">
        <v>99</v>
      </c>
      <c r="H123" s="453">
        <v>33.549999999999997</v>
      </c>
      <c r="I123" s="452" t="str">
        <f t="shared" si="1"/>
        <v>Panel 3 : établissement de moins de 300 agents</v>
      </c>
      <c r="J123" s="454"/>
      <c r="K123" s="452"/>
    </row>
    <row r="124" spans="2:11" s="7" customFormat="1" hidden="1">
      <c r="G124" s="452" t="s">
        <v>100</v>
      </c>
      <c r="H124" s="453">
        <v>45</v>
      </c>
      <c r="I124" s="452" t="str">
        <f t="shared" si="1"/>
        <v>Panel 3 : établissement de moins de 300 agents</v>
      </c>
      <c r="J124" s="454"/>
      <c r="K124" s="452"/>
    </row>
    <row r="125" spans="2:11" s="7" customFormat="1" hidden="1">
      <c r="G125" s="452" t="s">
        <v>101</v>
      </c>
      <c r="H125" s="453">
        <v>193.5</v>
      </c>
      <c r="I125" s="452" t="str">
        <f t="shared" si="1"/>
        <v>Panel 3 : établissement de moins de 300 agents</v>
      </c>
      <c r="J125" s="454"/>
      <c r="K125" s="452"/>
    </row>
    <row r="126" spans="2:11" s="7" customFormat="1" hidden="1">
      <c r="G126" s="452" t="s">
        <v>102</v>
      </c>
      <c r="H126" s="453">
        <v>943</v>
      </c>
      <c r="I126" s="452" t="str">
        <f t="shared" si="1"/>
        <v>Panel 2 : établissement de 300 à 1 000 agents</v>
      </c>
      <c r="J126" s="454"/>
      <c r="K126" s="452"/>
    </row>
    <row r="127" spans="2:11" s="7" customFormat="1" hidden="1">
      <c r="G127" s="452" t="s">
        <v>103</v>
      </c>
      <c r="H127" s="453">
        <v>43.75</v>
      </c>
      <c r="I127" s="452" t="str">
        <f t="shared" si="1"/>
        <v>Panel 3 : établissement de moins de 300 agents</v>
      </c>
      <c r="J127" s="454"/>
      <c r="K127" s="452"/>
    </row>
    <row r="128" spans="2:11" s="7" customFormat="1" hidden="1">
      <c r="G128" s="452" t="s">
        <v>104</v>
      </c>
      <c r="H128" s="453">
        <v>67.099999999999994</v>
      </c>
      <c r="I128" s="452" t="str">
        <f t="shared" si="1"/>
        <v>Panel 3 : établissement de moins de 300 agents</v>
      </c>
      <c r="J128" s="454"/>
      <c r="K128" s="452"/>
    </row>
    <row r="129" spans="6:11" s="7" customFormat="1" hidden="1">
      <c r="G129" s="452" t="s">
        <v>105</v>
      </c>
      <c r="H129" s="453">
        <v>85</v>
      </c>
      <c r="I129" s="452" t="str">
        <f t="shared" si="1"/>
        <v>Panel 3 : établissement de moins de 300 agents</v>
      </c>
      <c r="J129" s="454"/>
      <c r="K129" s="452"/>
    </row>
    <row r="130" spans="6:11" s="7" customFormat="1" hidden="1">
      <c r="G130" s="452" t="s">
        <v>106</v>
      </c>
      <c r="H130" s="453">
        <v>50</v>
      </c>
      <c r="I130" s="452" t="str">
        <f t="shared" si="1"/>
        <v>Panel 3 : établissement de moins de 300 agents</v>
      </c>
      <c r="J130" s="454"/>
      <c r="K130" s="452"/>
    </row>
    <row r="131" spans="6:11" s="7" customFormat="1" hidden="1">
      <c r="G131" s="452" t="s">
        <v>107</v>
      </c>
      <c r="H131" s="453">
        <v>77.680000000000007</v>
      </c>
      <c r="I131" s="452" t="str">
        <f t="shared" si="1"/>
        <v>Panel 3 : établissement de moins de 300 agents</v>
      </c>
      <c r="J131" s="454"/>
      <c r="K131" s="452"/>
    </row>
    <row r="132" spans="6:11" s="7" customFormat="1" hidden="1">
      <c r="G132" s="452" t="s">
        <v>108</v>
      </c>
      <c r="H132" s="453">
        <v>156.05000000000001</v>
      </c>
      <c r="I132" s="452" t="str">
        <f t="shared" si="1"/>
        <v>Panel 3 : établissement de moins de 300 agents</v>
      </c>
      <c r="J132" s="454"/>
      <c r="K132" s="452"/>
    </row>
    <row r="133" spans="6:11" s="7" customFormat="1" hidden="1">
      <c r="G133" s="452" t="s">
        <v>491</v>
      </c>
      <c r="H133" s="453">
        <v>1033.24</v>
      </c>
      <c r="I133" s="452" t="str">
        <f t="shared" si="1"/>
        <v>Panel 1 : établissement de plus de 1 000 agents</v>
      </c>
      <c r="J133" s="454"/>
      <c r="K133" s="452"/>
    </row>
    <row r="134" spans="6:11" s="7" customFormat="1" hidden="1">
      <c r="G134" s="452" t="s">
        <v>492</v>
      </c>
      <c r="H134" s="453">
        <v>49.48</v>
      </c>
      <c r="I134" s="452" t="str">
        <f t="shared" si="1"/>
        <v>Panel 3 : établissement de moins de 300 agents</v>
      </c>
      <c r="J134" s="454"/>
      <c r="K134" s="452"/>
    </row>
    <row r="135" spans="6:11" s="7" customFormat="1" hidden="1">
      <c r="G135" s="452" t="s">
        <v>493</v>
      </c>
      <c r="H135" s="453">
        <v>62.7</v>
      </c>
      <c r="I135" s="452" t="str">
        <f t="shared" si="1"/>
        <v>Panel 3 : établissement de moins de 300 agents</v>
      </c>
      <c r="J135" s="454"/>
      <c r="K135" s="452"/>
    </row>
    <row r="136" spans="6:11" s="7" customFormat="1" hidden="1">
      <c r="G136" s="452" t="s">
        <v>109</v>
      </c>
      <c r="H136" s="453">
        <v>51.5</v>
      </c>
      <c r="I136" s="452" t="str">
        <f t="shared" si="1"/>
        <v>Panel 3 : établissement de moins de 300 agents</v>
      </c>
      <c r="J136" s="454"/>
      <c r="K136" s="452"/>
    </row>
    <row r="137" spans="6:11" s="7" customFormat="1" hidden="1">
      <c r="G137" s="452" t="s">
        <v>110</v>
      </c>
      <c r="H137" s="453">
        <v>63.1</v>
      </c>
      <c r="I137" s="452" t="str">
        <f t="shared" si="1"/>
        <v>Panel 3 : établissement de moins de 300 agents</v>
      </c>
      <c r="J137" s="454"/>
      <c r="K137" s="452"/>
    </row>
    <row r="138" spans="6:11" s="7" customFormat="1" hidden="1">
      <c r="G138" s="452" t="s">
        <v>111</v>
      </c>
      <c r="H138" s="453">
        <v>959.9</v>
      </c>
      <c r="I138" s="452" t="str">
        <f t="shared" si="1"/>
        <v>Panel 2 : établissement de 300 à 1 000 agents</v>
      </c>
      <c r="J138" s="454"/>
      <c r="K138" s="452"/>
    </row>
    <row r="139" spans="6:11" s="7" customFormat="1" hidden="1">
      <c r="G139" s="452" t="s">
        <v>112</v>
      </c>
      <c r="H139" s="453">
        <v>70.42</v>
      </c>
      <c r="I139" s="452" t="str">
        <f t="shared" si="1"/>
        <v>Panel 3 : établissement de moins de 300 agents</v>
      </c>
      <c r="J139" s="454"/>
      <c r="K139" s="452"/>
    </row>
    <row r="140" spans="6:11" s="7" customFormat="1" hidden="1">
      <c r="G140" s="452" t="s">
        <v>113</v>
      </c>
      <c r="H140" s="453">
        <v>77.7</v>
      </c>
      <c r="I140" s="452" t="str">
        <f t="shared" si="1"/>
        <v>Panel 3 : établissement de moins de 300 agents</v>
      </c>
      <c r="J140" s="454"/>
      <c r="K140" s="452"/>
    </row>
    <row r="141" spans="6:11" s="7" customFormat="1" hidden="1">
      <c r="G141" s="452" t="s">
        <v>114</v>
      </c>
      <c r="H141" s="453">
        <v>3480.65</v>
      </c>
      <c r="I141" s="452" t="str">
        <f t="shared" si="1"/>
        <v>Panel 1 : établissement de plus de 1 000 agents</v>
      </c>
      <c r="J141" s="454"/>
      <c r="K141" s="452"/>
    </row>
    <row r="142" spans="6:11" s="7" customFormat="1" hidden="1">
      <c r="G142" s="452" t="s">
        <v>115</v>
      </c>
      <c r="H142" s="453">
        <v>59.2</v>
      </c>
      <c r="I142" s="452" t="str">
        <f t="shared" si="1"/>
        <v>Panel 3 : établissement de moins de 300 agents</v>
      </c>
      <c r="J142" s="454"/>
      <c r="K142" s="452"/>
    </row>
    <row r="143" spans="6:11" s="7" customFormat="1" hidden="1">
      <c r="G143" s="452" t="s">
        <v>116</v>
      </c>
      <c r="H143" s="453">
        <v>71</v>
      </c>
      <c r="I143" s="452" t="str">
        <f t="shared" si="1"/>
        <v>Panel 3 : établissement de moins de 300 agents</v>
      </c>
      <c r="J143" s="454"/>
      <c r="K143" s="452"/>
    </row>
    <row r="144" spans="6:11" s="7" customFormat="1" hidden="1">
      <c r="F144" s="90"/>
      <c r="G144" s="452" t="s">
        <v>117</v>
      </c>
      <c r="H144" s="453">
        <v>162.6</v>
      </c>
      <c r="I144" s="452" t="str">
        <f t="shared" si="1"/>
        <v>Panel 3 : établissement de moins de 300 agents</v>
      </c>
      <c r="J144" s="454"/>
      <c r="K144" s="452"/>
    </row>
    <row r="145" spans="7:11" s="7" customFormat="1" hidden="1">
      <c r="G145" s="452" t="s">
        <v>118</v>
      </c>
      <c r="H145" s="453">
        <v>66</v>
      </c>
      <c r="I145" s="452" t="str">
        <f t="shared" si="1"/>
        <v>Panel 3 : établissement de moins de 300 agents</v>
      </c>
      <c r="J145" s="454"/>
      <c r="K145" s="452"/>
    </row>
    <row r="146" spans="7:11" s="7" customFormat="1" hidden="1">
      <c r="G146" s="452" t="s">
        <v>119</v>
      </c>
      <c r="H146" s="453">
        <v>481.6</v>
      </c>
      <c r="I146" s="452" t="str">
        <f t="shared" si="1"/>
        <v>Panel 2 : établissement de 300 à 1 000 agents</v>
      </c>
      <c r="J146" s="454"/>
      <c r="K146" s="452"/>
    </row>
    <row r="147" spans="7:11" s="7" customFormat="1" hidden="1">
      <c r="G147" s="452" t="s">
        <v>120</v>
      </c>
      <c r="H147" s="453">
        <v>499.7</v>
      </c>
      <c r="I147" s="452" t="str">
        <f t="shared" si="1"/>
        <v>Panel 2 : établissement de 300 à 1 000 agents</v>
      </c>
      <c r="J147" s="454"/>
      <c r="K147" s="452"/>
    </row>
    <row r="148" spans="7:11" s="7" customFormat="1" hidden="1">
      <c r="G148" s="452" t="s">
        <v>121</v>
      </c>
      <c r="H148" s="453">
        <v>2655.41</v>
      </c>
      <c r="I148" s="452" t="str">
        <f t="shared" si="1"/>
        <v>Panel 1 : établissement de plus de 1 000 agents</v>
      </c>
      <c r="J148" s="454"/>
      <c r="K148" s="452"/>
    </row>
    <row r="149" spans="7:11" s="7" customFormat="1" hidden="1">
      <c r="G149" s="452" t="s">
        <v>122</v>
      </c>
      <c r="H149" s="453">
        <v>1141.2</v>
      </c>
      <c r="I149" s="452" t="str">
        <f t="shared" si="1"/>
        <v>Panel 1 : établissement de plus de 1 000 agents</v>
      </c>
      <c r="J149" s="454"/>
      <c r="K149" s="452"/>
    </row>
    <row r="150" spans="7:11" s="7" customFormat="1" hidden="1">
      <c r="G150" s="452" t="s">
        <v>494</v>
      </c>
      <c r="H150" s="453">
        <v>257.67</v>
      </c>
      <c r="I150" s="452" t="str">
        <f t="shared" si="1"/>
        <v>Panel 3 : établissement de moins de 300 agents</v>
      </c>
      <c r="J150" s="454"/>
      <c r="K150" s="452"/>
    </row>
    <row r="151" spans="7:11" s="7" customFormat="1" hidden="1">
      <c r="G151" s="452" t="s">
        <v>123</v>
      </c>
      <c r="H151" s="453">
        <v>47.3</v>
      </c>
      <c r="I151" s="452" t="str">
        <f t="shared" si="1"/>
        <v>Panel 3 : établissement de moins de 300 agents</v>
      </c>
      <c r="J151" s="454"/>
      <c r="K151" s="452"/>
    </row>
    <row r="152" spans="7:11" s="7" customFormat="1" hidden="1">
      <c r="G152" s="452" t="s">
        <v>124</v>
      </c>
      <c r="H152" s="453">
        <v>96.95</v>
      </c>
      <c r="I152" s="452" t="str">
        <f t="shared" si="1"/>
        <v>Panel 3 : établissement de moins de 300 agents</v>
      </c>
      <c r="J152" s="454"/>
      <c r="K152" s="452"/>
    </row>
    <row r="153" spans="7:11" s="7" customFormat="1" hidden="1">
      <c r="G153" s="452" t="s">
        <v>125</v>
      </c>
      <c r="H153" s="453">
        <v>113.76</v>
      </c>
      <c r="I153" s="452" t="str">
        <f t="shared" si="1"/>
        <v>Panel 3 : établissement de moins de 300 agents</v>
      </c>
      <c r="J153" s="454"/>
      <c r="K153" s="452"/>
    </row>
    <row r="154" spans="7:11" s="7" customFormat="1" hidden="1">
      <c r="G154" s="452" t="s">
        <v>126</v>
      </c>
      <c r="H154" s="453">
        <v>72.930000000000007</v>
      </c>
      <c r="I154" s="452" t="str">
        <f t="shared" si="1"/>
        <v>Panel 3 : établissement de moins de 300 agents</v>
      </c>
      <c r="J154" s="454"/>
      <c r="K154" s="452"/>
    </row>
    <row r="155" spans="7:11" s="7" customFormat="1" hidden="1">
      <c r="G155" s="452" t="s">
        <v>127</v>
      </c>
      <c r="H155" s="453">
        <v>92.85</v>
      </c>
      <c r="I155" s="452" t="str">
        <f t="shared" si="1"/>
        <v>Panel 3 : établissement de moins de 300 agents</v>
      </c>
      <c r="J155" s="454"/>
      <c r="K155" s="452"/>
    </row>
    <row r="156" spans="7:11" s="7" customFormat="1" hidden="1">
      <c r="G156" s="452" t="s">
        <v>128</v>
      </c>
      <c r="H156" s="453">
        <v>86.8</v>
      </c>
      <c r="I156" s="452" t="str">
        <f t="shared" si="1"/>
        <v>Panel 3 : établissement de moins de 300 agents</v>
      </c>
      <c r="J156" s="454"/>
      <c r="K156" s="452"/>
    </row>
    <row r="157" spans="7:11" s="7" customFormat="1" hidden="1">
      <c r="G157" s="452" t="s">
        <v>129</v>
      </c>
      <c r="H157" s="453">
        <v>74.72</v>
      </c>
      <c r="I157" s="452" t="str">
        <f t="shared" si="1"/>
        <v>Panel 3 : établissement de moins de 300 agents</v>
      </c>
      <c r="J157" s="454"/>
      <c r="K157" s="452"/>
    </row>
    <row r="158" spans="7:11" s="7" customFormat="1" hidden="1">
      <c r="G158" s="452" t="s">
        <v>495</v>
      </c>
      <c r="H158" s="453">
        <v>220</v>
      </c>
      <c r="I158" s="452" t="str">
        <f t="shared" si="1"/>
        <v>Panel 3 : établissement de moins de 300 agents</v>
      </c>
      <c r="J158" s="454"/>
      <c r="K158" s="452"/>
    </row>
    <row r="159" spans="7:11" s="7" customFormat="1" hidden="1">
      <c r="G159" s="452" t="s">
        <v>130</v>
      </c>
      <c r="H159" s="453">
        <v>108.4</v>
      </c>
      <c r="I159" s="452" t="str">
        <f t="shared" si="1"/>
        <v>Panel 3 : établissement de moins de 300 agents</v>
      </c>
      <c r="J159" s="454"/>
      <c r="K159" s="452"/>
    </row>
    <row r="160" spans="7:11" s="7" customFormat="1" hidden="1">
      <c r="G160" s="452" t="s">
        <v>496</v>
      </c>
      <c r="H160" s="453">
        <v>21.1</v>
      </c>
      <c r="I160" s="452" t="str">
        <f t="shared" si="1"/>
        <v>Panel 3 : établissement de moins de 300 agents</v>
      </c>
      <c r="J160" s="454"/>
      <c r="K160" s="452"/>
    </row>
    <row r="161" spans="7:11" s="7" customFormat="1" hidden="1">
      <c r="G161" s="452" t="s">
        <v>497</v>
      </c>
      <c r="H161" s="453">
        <v>52.55</v>
      </c>
      <c r="I161" s="452" t="str">
        <f t="shared" si="1"/>
        <v>Panel 3 : établissement de moins de 300 agents</v>
      </c>
      <c r="J161" s="454"/>
      <c r="K161" s="452"/>
    </row>
    <row r="162" spans="7:11" s="7" customFormat="1" hidden="1">
      <c r="G162" s="452" t="s">
        <v>131</v>
      </c>
      <c r="H162" s="453">
        <v>47.2</v>
      </c>
      <c r="I162" s="452" t="str">
        <f t="shared" si="1"/>
        <v>Panel 3 : établissement de moins de 300 agents</v>
      </c>
      <c r="J162" s="454"/>
      <c r="K162" s="452"/>
    </row>
    <row r="163" spans="7:11" s="7" customFormat="1" hidden="1">
      <c r="G163" s="452" t="s">
        <v>132</v>
      </c>
      <c r="H163" s="453">
        <v>47.9</v>
      </c>
      <c r="I163" s="452" t="str">
        <f t="shared" si="1"/>
        <v>Panel 3 : établissement de moins de 300 agents</v>
      </c>
      <c r="J163" s="454"/>
      <c r="K163" s="452"/>
    </row>
    <row r="164" spans="7:11" s="7" customFormat="1" hidden="1">
      <c r="G164" s="452" t="s">
        <v>133</v>
      </c>
      <c r="H164" s="453">
        <v>50.5</v>
      </c>
      <c r="I164" s="452" t="str">
        <f t="shared" si="1"/>
        <v>Panel 3 : établissement de moins de 300 agents</v>
      </c>
      <c r="J164" s="454"/>
      <c r="K164" s="452"/>
    </row>
    <row r="165" spans="7:11" s="7" customFormat="1" hidden="1">
      <c r="G165" s="452" t="s">
        <v>498</v>
      </c>
      <c r="H165" s="453">
        <v>304.63</v>
      </c>
      <c r="I165" s="452" t="str">
        <f t="shared" si="1"/>
        <v>Panel 2 : établissement de 300 à 1 000 agents</v>
      </c>
      <c r="J165" s="454"/>
      <c r="K165" s="452"/>
    </row>
    <row r="166" spans="7:11" s="7" customFormat="1" hidden="1">
      <c r="G166" s="452" t="s">
        <v>134</v>
      </c>
      <c r="H166" s="453">
        <v>136</v>
      </c>
      <c r="I166" s="452" t="str">
        <f t="shared" si="1"/>
        <v>Panel 3 : établissement de moins de 300 agents</v>
      </c>
      <c r="J166" s="454"/>
      <c r="K166" s="452"/>
    </row>
    <row r="167" spans="7:11" s="7" customFormat="1" hidden="1">
      <c r="G167" s="452" t="s">
        <v>135</v>
      </c>
      <c r="H167" s="453">
        <v>43.65</v>
      </c>
      <c r="I167" s="452" t="str">
        <f t="shared" si="1"/>
        <v>Panel 3 : établissement de moins de 300 agents</v>
      </c>
      <c r="J167" s="454"/>
      <c r="K167" s="452"/>
    </row>
    <row r="168" spans="7:11" s="7" customFormat="1" hidden="1">
      <c r="G168" s="452" t="s">
        <v>136</v>
      </c>
      <c r="H168" s="453">
        <v>67.400000000000006</v>
      </c>
      <c r="I168" s="452" t="str">
        <f t="shared" si="1"/>
        <v>Panel 3 : établissement de moins de 300 agents</v>
      </c>
      <c r="J168" s="454"/>
      <c r="K168" s="452"/>
    </row>
    <row r="169" spans="7:11" s="7" customFormat="1" hidden="1">
      <c r="G169" s="452" t="s">
        <v>137</v>
      </c>
      <c r="H169" s="453">
        <v>27.3</v>
      </c>
      <c r="I169" s="452" t="str">
        <f t="shared" si="1"/>
        <v>Panel 3 : établissement de moins de 300 agents</v>
      </c>
      <c r="J169" s="454"/>
      <c r="K169" s="452"/>
    </row>
    <row r="170" spans="7:11" s="7" customFormat="1" hidden="1">
      <c r="G170" s="452" t="s">
        <v>499</v>
      </c>
      <c r="H170" s="453">
        <v>75.900000000000006</v>
      </c>
      <c r="I170" s="452" t="str">
        <f t="shared" ref="I170:I177" si="2">IF(H170&gt;1000,"Panel 1 : établissement de plus de 1 000 agents",IF(AND(H170&lt;1000,H170&gt;300),"Panel 2 : établissement de 300 à 1 000 agents","Panel 3 : établissement de moins de 300 agents"))</f>
        <v>Panel 3 : établissement de moins de 300 agents</v>
      </c>
      <c r="J170" s="454"/>
      <c r="K170" s="452"/>
    </row>
    <row r="171" spans="7:11" s="7" customFormat="1" hidden="1">
      <c r="G171" s="452" t="s">
        <v>500</v>
      </c>
      <c r="H171" s="453">
        <v>56</v>
      </c>
      <c r="I171" s="452" t="str">
        <f t="shared" si="2"/>
        <v>Panel 3 : établissement de moins de 300 agents</v>
      </c>
      <c r="J171" s="454"/>
      <c r="K171" s="452"/>
    </row>
    <row r="172" spans="7:11" s="7" customFormat="1" hidden="1">
      <c r="G172" s="452" t="s">
        <v>501</v>
      </c>
      <c r="H172" s="453">
        <v>77.599999999999994</v>
      </c>
      <c r="I172" s="452" t="str">
        <f t="shared" si="2"/>
        <v>Panel 3 : établissement de moins de 300 agents</v>
      </c>
      <c r="J172" s="454"/>
      <c r="K172" s="452"/>
    </row>
    <row r="173" spans="7:11" s="7" customFormat="1" hidden="1">
      <c r="G173" s="452" t="s">
        <v>138</v>
      </c>
      <c r="H173" s="453">
        <v>30.7</v>
      </c>
      <c r="I173" s="452" t="str">
        <f t="shared" si="2"/>
        <v>Panel 3 : établissement de moins de 300 agents</v>
      </c>
      <c r="J173" s="454"/>
      <c r="K173" s="452"/>
    </row>
    <row r="174" spans="7:11" s="7" customFormat="1" hidden="1">
      <c r="G174" s="452" t="s">
        <v>139</v>
      </c>
      <c r="H174" s="453">
        <v>68.7</v>
      </c>
      <c r="I174" s="452" t="str">
        <f t="shared" si="2"/>
        <v>Panel 3 : établissement de moins de 300 agents</v>
      </c>
      <c r="J174" s="454"/>
      <c r="K174" s="452"/>
    </row>
    <row r="175" spans="7:11" s="7" customFormat="1" hidden="1">
      <c r="G175" s="452" t="s">
        <v>140</v>
      </c>
      <c r="H175" s="453">
        <v>223.37</v>
      </c>
      <c r="I175" s="452" t="str">
        <f t="shared" si="2"/>
        <v>Panel 3 : établissement de moins de 300 agents</v>
      </c>
      <c r="J175" s="454"/>
      <c r="K175" s="452"/>
    </row>
    <row r="176" spans="7:11" s="7" customFormat="1" hidden="1">
      <c r="G176" s="452" t="s">
        <v>236</v>
      </c>
      <c r="H176" s="453">
        <v>65</v>
      </c>
      <c r="I176" s="452" t="str">
        <f t="shared" si="2"/>
        <v>Panel 3 : établissement de moins de 300 agents</v>
      </c>
      <c r="J176" s="454"/>
      <c r="K176" s="452"/>
    </row>
    <row r="177" spans="1:19" s="7" customFormat="1" hidden="1">
      <c r="G177" s="452" t="s">
        <v>342</v>
      </c>
      <c r="H177" s="453">
        <v>23.5</v>
      </c>
      <c r="I177" s="452" t="str">
        <f t="shared" si="2"/>
        <v>Panel 3 : établissement de moins de 300 agents</v>
      </c>
      <c r="J177" s="454"/>
      <c r="K177" s="452"/>
    </row>
    <row r="178" spans="1:19" s="28" customFormat="1" hidden="1">
      <c r="A178" s="28" t="s">
        <v>469</v>
      </c>
      <c r="O178" s="7"/>
      <c r="P178" s="7"/>
      <c r="Q178" s="7"/>
      <c r="R178" s="7"/>
      <c r="S178" s="7"/>
    </row>
    <row r="179" spans="1:19" s="28" customFormat="1" hidden="1">
      <c r="A179" s="28" t="s">
        <v>470</v>
      </c>
      <c r="O179" s="7"/>
      <c r="P179" s="7"/>
      <c r="Q179" s="7"/>
      <c r="R179" s="7"/>
      <c r="S179" s="7"/>
    </row>
    <row r="180" spans="1:19" s="28" customFormat="1" hidden="1">
      <c r="A180" s="28" t="s">
        <v>519</v>
      </c>
      <c r="O180" s="7"/>
      <c r="P180" s="7"/>
      <c r="Q180" s="7"/>
      <c r="R180" s="7"/>
      <c r="S180" s="7"/>
    </row>
    <row r="181" spans="1:19" s="28" customFormat="1" hidden="1">
      <c r="A181" s="28" t="s">
        <v>520</v>
      </c>
      <c r="O181" s="7"/>
      <c r="P181" s="7"/>
      <c r="Q181" s="7"/>
      <c r="R181" s="7"/>
      <c r="S181" s="7"/>
    </row>
    <row r="182" spans="1:19" s="28" customFormat="1" hidden="1">
      <c r="A182" s="28" t="s">
        <v>473</v>
      </c>
      <c r="O182" s="7"/>
      <c r="P182" s="7"/>
      <c r="Q182" s="7"/>
      <c r="R182" s="7"/>
      <c r="S182" s="7"/>
    </row>
    <row r="183" spans="1:19" s="28" customFormat="1" hidden="1">
      <c r="O183" s="7"/>
      <c r="P183" s="7"/>
      <c r="Q183" s="7"/>
      <c r="R183" s="7"/>
      <c r="S183" s="7"/>
    </row>
    <row r="184" spans="1:19" s="28" customFormat="1" hidden="1">
      <c r="O184" s="7"/>
      <c r="P184" s="7"/>
      <c r="Q184" s="7"/>
      <c r="R184" s="7"/>
      <c r="S184" s="7"/>
    </row>
    <row r="185" spans="1:19" s="28" customFormat="1" hidden="1">
      <c r="O185" s="7"/>
      <c r="P185" s="7"/>
      <c r="Q185" s="7"/>
      <c r="R185" s="7"/>
      <c r="S185" s="7"/>
    </row>
    <row r="186" spans="1:19" s="28" customFormat="1" hidden="1">
      <c r="O186" s="7"/>
      <c r="P186" s="7"/>
      <c r="Q186" s="7"/>
      <c r="R186" s="7"/>
      <c r="S186" s="7"/>
    </row>
    <row r="187" spans="1:19" s="28" customFormat="1" hidden="1">
      <c r="O187" s="7"/>
      <c r="P187" s="7"/>
      <c r="Q187" s="7"/>
      <c r="R187" s="7"/>
      <c r="S187" s="7"/>
    </row>
    <row r="188" spans="1:19" s="28" customFormat="1" hidden="1">
      <c r="O188" s="7"/>
      <c r="P188" s="7"/>
      <c r="Q188" s="7"/>
      <c r="R188" s="7"/>
      <c r="S188" s="7"/>
    </row>
    <row r="189" spans="1:19" s="28" customFormat="1" hidden="1">
      <c r="O189" s="7"/>
      <c r="P189" s="7"/>
      <c r="Q189" s="7"/>
      <c r="R189" s="7"/>
      <c r="S189" s="7"/>
    </row>
    <row r="190" spans="1:19" s="28" customFormat="1" hidden="1">
      <c r="O190" s="7"/>
      <c r="P190" s="7"/>
      <c r="Q190" s="7"/>
      <c r="R190" s="7"/>
      <c r="S190" s="7"/>
    </row>
    <row r="191" spans="1:19" s="28" customFormat="1" hidden="1">
      <c r="O191" s="7"/>
      <c r="P191" s="7"/>
      <c r="Q191" s="7"/>
      <c r="R191" s="7"/>
      <c r="S191" s="7"/>
    </row>
    <row r="192" spans="1:19" s="28" customFormat="1" hidden="1">
      <c r="O192" s="7"/>
      <c r="P192" s="7"/>
      <c r="Q192" s="7"/>
      <c r="R192" s="7"/>
      <c r="S192" s="7"/>
    </row>
    <row r="193" spans="15:19" s="28" customFormat="1" hidden="1">
      <c r="O193" s="7"/>
      <c r="P193" s="7"/>
      <c r="Q193" s="7"/>
      <c r="R193" s="7"/>
      <c r="S193" s="7"/>
    </row>
    <row r="194" spans="15:19" s="28" customFormat="1" hidden="1">
      <c r="O194" s="7"/>
      <c r="P194" s="7"/>
      <c r="Q194" s="7"/>
      <c r="R194" s="7"/>
      <c r="S194" s="7"/>
    </row>
    <row r="195" spans="15:19" s="28" customFormat="1" hidden="1">
      <c r="O195" s="7"/>
      <c r="P195" s="7"/>
      <c r="Q195" s="7"/>
      <c r="R195" s="7"/>
      <c r="S195" s="7"/>
    </row>
    <row r="196" spans="15:19" s="28" customFormat="1" hidden="1">
      <c r="O196" s="7"/>
      <c r="P196" s="7"/>
      <c r="Q196" s="7"/>
      <c r="R196" s="7"/>
      <c r="S196" s="7"/>
    </row>
    <row r="197" spans="15:19" s="28" customFormat="1" hidden="1">
      <c r="O197" s="7"/>
      <c r="P197" s="7"/>
      <c r="Q197" s="7"/>
      <c r="R197" s="7"/>
      <c r="S197" s="7"/>
    </row>
    <row r="198" spans="15:19" s="28" customFormat="1" hidden="1">
      <c r="O198" s="7"/>
      <c r="P198" s="7"/>
      <c r="Q198" s="7"/>
      <c r="R198" s="7"/>
      <c r="S198" s="7"/>
    </row>
    <row r="199" spans="15:19" s="28" customFormat="1" hidden="1">
      <c r="O199" s="7"/>
      <c r="P199" s="7"/>
      <c r="Q199" s="7"/>
      <c r="R199" s="7"/>
      <c r="S199" s="7"/>
    </row>
    <row r="200" spans="15:19" s="28" customFormat="1" hidden="1">
      <c r="O200" s="7"/>
      <c r="P200" s="7"/>
      <c r="Q200" s="7"/>
      <c r="R200" s="7"/>
      <c r="S200" s="7"/>
    </row>
    <row r="201" spans="15:19" s="28" customFormat="1" hidden="1">
      <c r="O201" s="7"/>
      <c r="P201" s="7"/>
      <c r="Q201" s="7"/>
      <c r="R201" s="7"/>
      <c r="S201" s="7"/>
    </row>
    <row r="202" spans="15:19" s="28" customFormat="1" hidden="1">
      <c r="O202" s="7"/>
      <c r="P202" s="7"/>
      <c r="Q202" s="7"/>
      <c r="R202" s="7"/>
      <c r="S202" s="7"/>
    </row>
    <row r="203" spans="15:19" s="28" customFormat="1" hidden="1">
      <c r="O203" s="7"/>
      <c r="P203" s="7"/>
      <c r="Q203" s="7"/>
      <c r="R203" s="7"/>
      <c r="S203" s="7"/>
    </row>
    <row r="204" spans="15:19" s="28" customFormat="1" hidden="1">
      <c r="O204" s="7"/>
      <c r="P204" s="7"/>
      <c r="Q204" s="7"/>
      <c r="R204" s="7"/>
      <c r="S204" s="7"/>
    </row>
    <row r="205" spans="15:19" s="28" customFormat="1" hidden="1">
      <c r="O205" s="7"/>
      <c r="P205" s="7"/>
      <c r="Q205" s="7"/>
      <c r="R205" s="7"/>
      <c r="S205" s="7"/>
    </row>
    <row r="206" spans="15:19" s="28" customFormat="1" hidden="1">
      <c r="O206" s="7"/>
      <c r="P206" s="7"/>
      <c r="Q206" s="7"/>
      <c r="R206" s="7"/>
      <c r="S206" s="7"/>
    </row>
    <row r="207" spans="15:19" s="28" customFormat="1" hidden="1">
      <c r="O207" s="7"/>
      <c r="P207" s="7"/>
      <c r="Q207" s="7"/>
      <c r="R207" s="7"/>
      <c r="S207" s="7"/>
    </row>
    <row r="208" spans="15:19" s="28" customFormat="1" hidden="1">
      <c r="O208" s="7"/>
      <c r="P208" s="7"/>
      <c r="Q208" s="7"/>
      <c r="R208" s="7"/>
      <c r="S208" s="7"/>
    </row>
    <row r="209" spans="15:19" s="28" customFormat="1" hidden="1">
      <c r="O209" s="7"/>
      <c r="P209" s="7"/>
      <c r="Q209" s="7"/>
      <c r="R209" s="7"/>
      <c r="S209" s="7"/>
    </row>
    <row r="210" spans="15:19" s="28" customFormat="1" hidden="1">
      <c r="O210" s="7"/>
      <c r="P210" s="7"/>
      <c r="Q210" s="7"/>
      <c r="R210" s="7"/>
      <c r="S210" s="7"/>
    </row>
    <row r="211" spans="15:19" s="28" customFormat="1" hidden="1">
      <c r="O211" s="7"/>
      <c r="P211" s="7"/>
      <c r="Q211" s="7"/>
      <c r="R211" s="7"/>
      <c r="S211" s="7"/>
    </row>
    <row r="212" spans="15:19" s="28" customFormat="1" hidden="1">
      <c r="O212" s="7"/>
      <c r="P212" s="7"/>
      <c r="Q212" s="7"/>
      <c r="R212" s="7"/>
      <c r="S212" s="7"/>
    </row>
    <row r="213" spans="15:19" s="28" customFormat="1" hidden="1">
      <c r="O213" s="7"/>
      <c r="P213" s="7"/>
      <c r="Q213" s="7"/>
      <c r="R213" s="7"/>
      <c r="S213" s="7"/>
    </row>
    <row r="214" spans="15:19" s="28" customFormat="1" hidden="1">
      <c r="O214" s="7"/>
      <c r="P214" s="7"/>
      <c r="Q214" s="7"/>
      <c r="R214" s="7"/>
      <c r="S214" s="7"/>
    </row>
    <row r="215" spans="15:19" s="28" customFormat="1" hidden="1">
      <c r="O215" s="7"/>
      <c r="P215" s="7"/>
      <c r="Q215" s="7"/>
      <c r="R215" s="7"/>
      <c r="S215" s="7"/>
    </row>
    <row r="216" spans="15:19" s="28" customFormat="1" hidden="1">
      <c r="O216" s="7"/>
      <c r="P216" s="7"/>
      <c r="Q216" s="7"/>
      <c r="R216" s="7"/>
      <c r="S216" s="7"/>
    </row>
    <row r="217" spans="15:19" s="28" customFormat="1" hidden="1">
      <c r="O217" s="7"/>
      <c r="P217" s="7"/>
      <c r="Q217" s="7"/>
      <c r="R217" s="7"/>
      <c r="S217" s="7"/>
    </row>
    <row r="218" spans="15:19" s="28" customFormat="1" hidden="1">
      <c r="O218" s="7"/>
      <c r="P218" s="7"/>
      <c r="Q218" s="7"/>
      <c r="R218" s="7"/>
      <c r="S218" s="7"/>
    </row>
    <row r="219" spans="15:19" s="28" customFormat="1" hidden="1">
      <c r="O219" s="7"/>
      <c r="P219" s="7"/>
      <c r="Q219" s="7"/>
      <c r="R219" s="7"/>
      <c r="S219" s="7"/>
    </row>
    <row r="220" spans="15:19" s="28" customFormat="1" hidden="1">
      <c r="O220" s="7"/>
      <c r="P220" s="7"/>
      <c r="Q220" s="7"/>
      <c r="R220" s="7"/>
      <c r="S220" s="7"/>
    </row>
    <row r="221" spans="15:19" s="28" customFormat="1" hidden="1">
      <c r="O221" s="7"/>
      <c r="P221" s="7"/>
      <c r="Q221" s="7"/>
      <c r="R221" s="7"/>
      <c r="S221" s="7"/>
    </row>
    <row r="222" spans="15:19" s="28" customFormat="1" hidden="1">
      <c r="O222" s="7"/>
      <c r="P222" s="7"/>
      <c r="Q222" s="7"/>
      <c r="R222" s="7"/>
      <c r="S222" s="7"/>
    </row>
    <row r="223" spans="15:19" s="28" customFormat="1" hidden="1">
      <c r="O223" s="7"/>
      <c r="P223" s="7"/>
      <c r="Q223" s="7"/>
      <c r="R223" s="7"/>
      <c r="S223" s="7"/>
    </row>
    <row r="224" spans="15:19" s="28" customFormat="1" hidden="1">
      <c r="O224" s="7"/>
      <c r="P224" s="7"/>
      <c r="Q224" s="7"/>
      <c r="R224" s="7"/>
      <c r="S224" s="7"/>
    </row>
    <row r="225" spans="1:19" s="28" customFormat="1" hidden="1">
      <c r="O225" s="7"/>
      <c r="P225" s="7"/>
      <c r="Q225" s="7"/>
      <c r="R225" s="7"/>
      <c r="S225" s="7"/>
    </row>
    <row r="226" spans="1:19" s="28" customFormat="1" hidden="1">
      <c r="O226" s="7"/>
      <c r="P226" s="7"/>
      <c r="Q226" s="7"/>
      <c r="R226" s="7"/>
      <c r="S226" s="7"/>
    </row>
    <row r="227" spans="1:19" s="28" customFormat="1" hidden="1">
      <c r="O227" s="7"/>
      <c r="P227" s="7"/>
      <c r="Q227" s="7"/>
      <c r="R227" s="7"/>
      <c r="S227" s="7"/>
    </row>
    <row r="228" spans="1:19" s="28" customFormat="1" hidden="1">
      <c r="O228" s="7"/>
      <c r="P228" s="7"/>
      <c r="Q228" s="7"/>
      <c r="R228" s="7"/>
      <c r="S228" s="7"/>
    </row>
    <row r="229" spans="1:19" s="28" customFormat="1" hidden="1">
      <c r="A229" s="7"/>
      <c r="O229" s="7"/>
      <c r="P229" s="7"/>
      <c r="Q229" s="7"/>
      <c r="R229" s="7"/>
      <c r="S229" s="7"/>
    </row>
    <row r="230" spans="1:19" s="28" customFormat="1" hidden="1">
      <c r="O230" s="7"/>
      <c r="P230" s="7"/>
      <c r="Q230" s="7"/>
      <c r="R230" s="7"/>
      <c r="S230" s="7"/>
    </row>
    <row r="231" spans="1:19" s="28" customFormat="1" hidden="1">
      <c r="O231" s="7"/>
      <c r="P231" s="7"/>
      <c r="Q231" s="7"/>
      <c r="R231" s="7"/>
      <c r="S231" s="7"/>
    </row>
    <row r="232" spans="1:19" s="28" customFormat="1" hidden="1">
      <c r="O232" s="7"/>
      <c r="P232" s="7"/>
      <c r="Q232" s="7"/>
      <c r="R232" s="7"/>
      <c r="S232" s="7"/>
    </row>
    <row r="233" spans="1:19" s="28" customFormat="1" hidden="1">
      <c r="O233" s="7"/>
      <c r="P233" s="7"/>
      <c r="Q233" s="7"/>
      <c r="R233" s="7"/>
      <c r="S233" s="7"/>
    </row>
    <row r="234" spans="1:19" s="28" customFormat="1" hidden="1">
      <c r="O234" s="7"/>
      <c r="P234" s="7"/>
      <c r="Q234" s="7"/>
      <c r="R234" s="7"/>
      <c r="S234" s="7"/>
    </row>
    <row r="235" spans="1:19" s="28" customFormat="1" hidden="1">
      <c r="O235" s="7"/>
      <c r="P235" s="7"/>
      <c r="Q235" s="7"/>
      <c r="R235" s="7"/>
      <c r="S235" s="7"/>
    </row>
    <row r="236" spans="1:19" s="28" customFormat="1" hidden="1">
      <c r="O236" s="7"/>
      <c r="P236" s="7"/>
      <c r="Q236" s="7"/>
      <c r="R236" s="7"/>
      <c r="S236" s="7"/>
    </row>
    <row r="237" spans="1:19" s="28" customFormat="1" hidden="1">
      <c r="O237" s="7"/>
      <c r="P237" s="7"/>
      <c r="Q237" s="7"/>
      <c r="R237" s="7"/>
      <c r="S237" s="7"/>
    </row>
    <row r="238" spans="1:19" s="28" customFormat="1" hidden="1">
      <c r="O238" s="7"/>
      <c r="P238" s="7"/>
      <c r="Q238" s="7"/>
      <c r="R238" s="7"/>
      <c r="S238" s="7"/>
    </row>
    <row r="239" spans="1:19" s="28" customFormat="1" hidden="1">
      <c r="O239" s="7"/>
      <c r="P239" s="7"/>
      <c r="Q239" s="7"/>
      <c r="R239" s="7"/>
      <c r="S239" s="7"/>
    </row>
    <row r="240" spans="1:19" s="28" customFormat="1" hidden="1">
      <c r="O240" s="7"/>
      <c r="P240" s="7"/>
      <c r="Q240" s="7"/>
      <c r="R240" s="7"/>
      <c r="S240" s="7"/>
    </row>
    <row r="241" spans="15:19" s="28" customFormat="1" hidden="1">
      <c r="O241" s="7"/>
      <c r="P241" s="7"/>
      <c r="Q241" s="7"/>
      <c r="R241" s="7"/>
      <c r="S241" s="7"/>
    </row>
    <row r="242" spans="15:19" s="28" customFormat="1" hidden="1">
      <c r="O242" s="7"/>
      <c r="P242" s="7"/>
      <c r="Q242" s="7"/>
      <c r="R242" s="7"/>
      <c r="S242" s="7"/>
    </row>
    <row r="243" spans="15:19" s="28" customFormat="1" hidden="1">
      <c r="O243" s="7"/>
      <c r="P243" s="7"/>
      <c r="Q243" s="7"/>
      <c r="R243" s="7"/>
      <c r="S243" s="7"/>
    </row>
    <row r="244" spans="15:19" s="28" customFormat="1" hidden="1">
      <c r="O244" s="7"/>
      <c r="P244" s="7"/>
      <c r="Q244" s="7"/>
      <c r="R244" s="7"/>
      <c r="S244" s="7"/>
    </row>
    <row r="245" spans="15:19" s="28" customFormat="1" hidden="1">
      <c r="O245" s="7"/>
      <c r="P245" s="7"/>
      <c r="Q245" s="7"/>
      <c r="R245" s="7"/>
      <c r="S245" s="7"/>
    </row>
    <row r="246" spans="15:19" s="28" customFormat="1" hidden="1">
      <c r="O246" s="7"/>
      <c r="P246" s="7"/>
      <c r="Q246" s="7"/>
      <c r="R246" s="7"/>
      <c r="S246" s="7"/>
    </row>
    <row r="247" spans="15:19" s="28" customFormat="1" hidden="1">
      <c r="O247" s="7"/>
      <c r="P247" s="7"/>
      <c r="Q247" s="7"/>
      <c r="R247" s="7"/>
      <c r="S247" s="7"/>
    </row>
    <row r="248" spans="15:19" s="28" customFormat="1" hidden="1">
      <c r="O248" s="7"/>
      <c r="P248" s="7"/>
      <c r="Q248" s="7"/>
      <c r="R248" s="7"/>
      <c r="S248" s="7"/>
    </row>
    <row r="249" spans="15:19" s="28" customFormat="1" hidden="1">
      <c r="O249" s="7"/>
      <c r="P249" s="7"/>
      <c r="Q249" s="7"/>
      <c r="R249" s="7"/>
      <c r="S249" s="7"/>
    </row>
    <row r="250" spans="15:19" s="28" customFormat="1" hidden="1">
      <c r="O250" s="7"/>
      <c r="P250" s="7"/>
      <c r="Q250" s="7"/>
      <c r="R250" s="7"/>
      <c r="S250" s="7"/>
    </row>
    <row r="251" spans="15:19" s="28" customFormat="1" hidden="1">
      <c r="O251" s="7"/>
      <c r="P251" s="7"/>
      <c r="Q251" s="7"/>
      <c r="R251" s="7"/>
      <c r="S251" s="7"/>
    </row>
    <row r="252" spans="15:19" s="28" customFormat="1" hidden="1">
      <c r="O252" s="7"/>
      <c r="P252" s="7"/>
      <c r="Q252" s="7"/>
      <c r="R252" s="7"/>
      <c r="S252" s="7"/>
    </row>
    <row r="253" spans="15:19" s="28" customFormat="1" hidden="1">
      <c r="O253" s="7"/>
      <c r="P253" s="7"/>
      <c r="Q253" s="7"/>
      <c r="R253" s="7"/>
      <c r="S253" s="7"/>
    </row>
    <row r="254" spans="15:19" s="28" customFormat="1" hidden="1">
      <c r="O254" s="7"/>
      <c r="P254" s="7"/>
      <c r="Q254" s="7"/>
      <c r="R254" s="7"/>
      <c r="S254" s="7"/>
    </row>
    <row r="255" spans="15:19" s="28" customFormat="1" hidden="1">
      <c r="O255" s="7"/>
      <c r="P255" s="7"/>
      <c r="Q255" s="7"/>
      <c r="R255" s="7"/>
      <c r="S255" s="7"/>
    </row>
    <row r="256" spans="15:19" s="28" customFormat="1" hidden="1">
      <c r="O256" s="7"/>
      <c r="P256" s="7"/>
      <c r="Q256" s="7"/>
      <c r="R256" s="7"/>
      <c r="S256" s="7"/>
    </row>
    <row r="257" spans="1:19" s="28" customFormat="1" hidden="1">
      <c r="O257" s="7"/>
      <c r="P257" s="7"/>
      <c r="Q257" s="7"/>
      <c r="R257" s="7"/>
      <c r="S257" s="7"/>
    </row>
    <row r="258" spans="1:19" s="28" customFormat="1" hidden="1">
      <c r="O258" s="7"/>
      <c r="P258" s="7"/>
      <c r="Q258" s="7"/>
      <c r="R258" s="7"/>
      <c r="S258" s="7"/>
    </row>
    <row r="259" spans="1:19" s="28" customFormat="1" hidden="1">
      <c r="O259" s="7"/>
      <c r="P259" s="7"/>
      <c r="Q259" s="7"/>
      <c r="R259" s="7"/>
      <c r="S259" s="7"/>
    </row>
    <row r="260" spans="1:19" s="28" customFormat="1" hidden="1">
      <c r="O260" s="7"/>
      <c r="P260" s="7"/>
      <c r="Q260" s="7"/>
      <c r="R260" s="7"/>
      <c r="S260" s="7"/>
    </row>
    <row r="261" spans="1:19" s="28" customFormat="1" hidden="1">
      <c r="O261" s="7"/>
      <c r="P261" s="7"/>
      <c r="Q261" s="7"/>
      <c r="R261" s="7"/>
      <c r="S261" s="7"/>
    </row>
    <row r="262" spans="1:19" s="28" customFormat="1" hidden="1">
      <c r="O262" s="7"/>
      <c r="P262" s="7"/>
      <c r="Q262" s="7"/>
      <c r="R262" s="7"/>
      <c r="S262" s="7"/>
    </row>
    <row r="263" spans="1:19" s="28" customFormat="1" hidden="1">
      <c r="A263" s="7"/>
      <c r="O263" s="7"/>
      <c r="P263" s="7"/>
      <c r="Q263" s="7"/>
      <c r="R263" s="7"/>
      <c r="S263" s="7"/>
    </row>
    <row r="264" spans="1:19" s="28" customFormat="1" hidden="1">
      <c r="A264" s="7"/>
      <c r="O264" s="7"/>
      <c r="P264" s="7"/>
      <c r="Q264" s="7"/>
      <c r="R264" s="7"/>
      <c r="S264" s="7"/>
    </row>
    <row r="265" spans="1:19" s="28" customFormat="1" hidden="1">
      <c r="O265" s="7"/>
      <c r="P265" s="7"/>
      <c r="Q265" s="7"/>
      <c r="R265" s="7"/>
      <c r="S265" s="7"/>
    </row>
    <row r="266" spans="1:19" s="28" customFormat="1" hidden="1">
      <c r="O266" s="7"/>
      <c r="P266" s="7"/>
      <c r="Q266" s="7"/>
      <c r="R266" s="7"/>
      <c r="S266" s="7"/>
    </row>
    <row r="267" spans="1:19" s="28" customFormat="1" hidden="1">
      <c r="O267" s="7"/>
      <c r="P267" s="7"/>
      <c r="Q267" s="7"/>
      <c r="R267" s="7"/>
      <c r="S267" s="7"/>
    </row>
    <row r="268" spans="1:19" s="28" customFormat="1" hidden="1">
      <c r="O268" s="7"/>
      <c r="P268" s="7"/>
      <c r="Q268" s="7"/>
      <c r="R268" s="7"/>
      <c r="S268" s="7"/>
    </row>
    <row r="269" spans="1:19" s="28" customFormat="1" hidden="1">
      <c r="A269" s="7"/>
      <c r="O269" s="7"/>
      <c r="P269" s="7"/>
      <c r="Q269" s="7"/>
      <c r="R269" s="7"/>
      <c r="S269" s="7"/>
    </row>
    <row r="270" spans="1:19" s="28" customFormat="1" hidden="1">
      <c r="O270" s="7"/>
      <c r="P270" s="7"/>
      <c r="Q270" s="7"/>
      <c r="R270" s="7"/>
      <c r="S270" s="7"/>
    </row>
    <row r="271" spans="1:19" s="28" customFormat="1" hidden="1">
      <c r="O271" s="7"/>
      <c r="P271" s="7"/>
      <c r="Q271" s="7"/>
      <c r="R271" s="7"/>
      <c r="S271" s="7"/>
    </row>
    <row r="272" spans="1:19" s="28" customFormat="1" hidden="1">
      <c r="O272" s="7"/>
      <c r="P272" s="7"/>
      <c r="Q272" s="7"/>
      <c r="R272" s="7"/>
      <c r="S272" s="7"/>
    </row>
    <row r="273" spans="1:19" s="28" customFormat="1" hidden="1">
      <c r="A273" s="7"/>
      <c r="O273" s="7"/>
      <c r="P273" s="7"/>
      <c r="Q273" s="7"/>
      <c r="R273" s="7"/>
      <c r="S273" s="7"/>
    </row>
    <row r="274" spans="1:19" s="28" customFormat="1" hidden="1">
      <c r="A274" s="7"/>
      <c r="O274" s="7"/>
      <c r="P274" s="7"/>
      <c r="Q274" s="7"/>
      <c r="R274" s="7"/>
      <c r="S274" s="7"/>
    </row>
    <row r="275" spans="1:19" s="28" customFormat="1" hidden="1">
      <c r="A275" s="7"/>
      <c r="O275" s="7"/>
      <c r="P275" s="7"/>
      <c r="Q275" s="7"/>
      <c r="R275" s="7"/>
      <c r="S275" s="7"/>
    </row>
    <row r="276" spans="1:19" s="28" customFormat="1" hidden="1">
      <c r="O276" s="7"/>
      <c r="P276" s="7"/>
      <c r="Q276" s="7"/>
      <c r="R276" s="7"/>
      <c r="S276" s="7"/>
    </row>
    <row r="277" spans="1:19" s="28" customFormat="1" hidden="1">
      <c r="O277" s="7"/>
      <c r="P277" s="7"/>
      <c r="Q277" s="7"/>
      <c r="R277" s="7"/>
      <c r="S277" s="7"/>
    </row>
    <row r="278" spans="1:19" s="28" customFormat="1" hidden="1">
      <c r="O278" s="7"/>
      <c r="P278" s="7"/>
      <c r="Q278" s="7"/>
      <c r="R278" s="7"/>
      <c r="S278" s="7"/>
    </row>
    <row r="279" spans="1:19" s="28" customFormat="1" hidden="1">
      <c r="O279" s="7"/>
      <c r="P279" s="7"/>
      <c r="Q279" s="7"/>
      <c r="R279" s="7"/>
      <c r="S279" s="7"/>
    </row>
    <row r="280" spans="1:19" s="28" customFormat="1" hidden="1">
      <c r="O280" s="7"/>
      <c r="P280" s="7"/>
      <c r="Q280" s="7"/>
      <c r="R280" s="7"/>
      <c r="S280" s="7"/>
    </row>
    <row r="281" spans="1:19" s="28" customFormat="1" hidden="1">
      <c r="O281" s="7"/>
      <c r="P281" s="7"/>
      <c r="Q281" s="7"/>
      <c r="R281" s="7"/>
      <c r="S281" s="7"/>
    </row>
    <row r="282" spans="1:19" s="28" customFormat="1" hidden="1">
      <c r="A282" s="7" t="s">
        <v>141</v>
      </c>
      <c r="O282" s="7"/>
      <c r="P282" s="7"/>
      <c r="Q282" s="7"/>
      <c r="R282" s="7"/>
      <c r="S282" s="7"/>
    </row>
    <row r="283" spans="1:19" s="28" customFormat="1" hidden="1">
      <c r="A283" s="7" t="s">
        <v>318</v>
      </c>
      <c r="O283" s="7"/>
      <c r="P283" s="7"/>
      <c r="Q283" s="7"/>
      <c r="R283" s="7"/>
      <c r="S283" s="7"/>
    </row>
    <row r="284" spans="1:19" s="28" customFormat="1" hidden="1">
      <c r="A284" s="13" t="s">
        <v>320</v>
      </c>
      <c r="O284" s="7"/>
      <c r="P284" s="7"/>
      <c r="Q284" s="7"/>
      <c r="R284" s="7"/>
      <c r="S284" s="7"/>
    </row>
    <row r="285" spans="1:19" s="28" customFormat="1" hidden="1">
      <c r="A285" s="7" t="s">
        <v>319</v>
      </c>
      <c r="O285" s="7"/>
      <c r="P285" s="7"/>
      <c r="Q285" s="7"/>
      <c r="R285" s="7"/>
      <c r="S285" s="7"/>
    </row>
    <row r="286" spans="1:19" s="28" customFormat="1" hidden="1">
      <c r="O286" s="7"/>
      <c r="P286" s="7"/>
      <c r="Q286" s="7"/>
      <c r="R286" s="7"/>
      <c r="S286" s="7"/>
    </row>
    <row r="287" spans="1:19" s="28" customFormat="1" hidden="1">
      <c r="O287" s="7"/>
      <c r="P287" s="7"/>
      <c r="Q287" s="7"/>
      <c r="R287" s="7"/>
      <c r="S287" s="7"/>
    </row>
    <row r="288" spans="1:19" s="28" customFormat="1" hidden="1">
      <c r="O288" s="7"/>
      <c r="P288" s="7"/>
      <c r="Q288" s="7"/>
      <c r="R288" s="7"/>
      <c r="S288" s="7"/>
    </row>
    <row r="289" spans="1:19" s="28" customFormat="1" hidden="1">
      <c r="O289" s="7"/>
      <c r="P289" s="7"/>
      <c r="Q289" s="7"/>
      <c r="R289" s="7"/>
      <c r="S289" s="7"/>
    </row>
    <row r="290" spans="1:19" s="28" customFormat="1" hidden="1">
      <c r="O290" s="7"/>
      <c r="P290" s="7"/>
      <c r="Q290" s="7"/>
      <c r="R290" s="7"/>
      <c r="S290" s="7"/>
    </row>
    <row r="291" spans="1:19" s="28" customFormat="1" hidden="1">
      <c r="A291" s="7"/>
      <c r="O291" s="7"/>
      <c r="P291" s="7"/>
      <c r="Q291" s="7"/>
      <c r="R291" s="7"/>
      <c r="S291" s="7"/>
    </row>
    <row r="292" spans="1:19" s="28" customFormat="1" hidden="1">
      <c r="O292" s="7"/>
      <c r="P292" s="7"/>
      <c r="Q292" s="7"/>
      <c r="R292" s="7"/>
      <c r="S292" s="7"/>
    </row>
    <row r="293" spans="1:19" s="28" customFormat="1" hidden="1">
      <c r="O293" s="7"/>
      <c r="P293" s="7"/>
      <c r="Q293" s="7"/>
      <c r="R293" s="7"/>
      <c r="S293" s="7"/>
    </row>
    <row r="294" spans="1:19" s="28" customFormat="1" hidden="1">
      <c r="O294" s="7"/>
      <c r="P294" s="7"/>
      <c r="Q294" s="7"/>
      <c r="R294" s="7"/>
      <c r="S294" s="7"/>
    </row>
    <row r="295" spans="1:19" s="28" customFormat="1" hidden="1">
      <c r="O295" s="7"/>
      <c r="P295" s="7"/>
      <c r="Q295" s="7"/>
      <c r="R295" s="7"/>
      <c r="S295" s="7"/>
    </row>
    <row r="296" spans="1:19" s="28" customFormat="1" hidden="1">
      <c r="O296" s="7"/>
      <c r="P296" s="7"/>
      <c r="Q296" s="7"/>
      <c r="R296" s="7"/>
      <c r="S296" s="7"/>
    </row>
    <row r="297" spans="1:19" s="28" customFormat="1" hidden="1">
      <c r="O297" s="7"/>
      <c r="P297" s="7"/>
      <c r="Q297" s="7"/>
      <c r="R297" s="7"/>
      <c r="S297" s="7"/>
    </row>
    <row r="298" spans="1:19" s="28" customFormat="1" hidden="1">
      <c r="O298" s="7"/>
      <c r="P298" s="7"/>
      <c r="Q298" s="7"/>
      <c r="R298" s="7"/>
      <c r="S298" s="7"/>
    </row>
    <row r="299" spans="1:19" s="28" customFormat="1" hidden="1">
      <c r="A299" s="13"/>
      <c r="O299" s="7"/>
      <c r="P299" s="7"/>
      <c r="Q299" s="7"/>
      <c r="R299" s="7"/>
      <c r="S299" s="7"/>
    </row>
    <row r="300" spans="1:19" s="28" customFormat="1" hidden="1">
      <c r="A300" s="7"/>
      <c r="O300" s="7"/>
      <c r="P300" s="7"/>
      <c r="Q300" s="7"/>
      <c r="R300" s="7"/>
      <c r="S300" s="7"/>
    </row>
    <row r="301" spans="1:19" s="28" customFormat="1" hidden="1">
      <c r="O301" s="7"/>
      <c r="P301" s="7"/>
      <c r="Q301" s="7"/>
      <c r="R301" s="7"/>
      <c r="S301" s="7"/>
    </row>
    <row r="302" spans="1:19" s="28" customFormat="1" hidden="1">
      <c r="O302" s="7"/>
      <c r="P302" s="7"/>
      <c r="Q302" s="7"/>
      <c r="R302" s="7"/>
      <c r="S302" s="7"/>
    </row>
    <row r="303" spans="1:19" s="28" customFormat="1" hidden="1">
      <c r="O303" s="7"/>
      <c r="P303" s="7"/>
      <c r="Q303" s="7"/>
      <c r="R303" s="7"/>
      <c r="S303" s="7"/>
    </row>
    <row r="304" spans="1:19" s="28" customFormat="1" hidden="1">
      <c r="O304" s="7"/>
      <c r="P304" s="7"/>
      <c r="Q304" s="7"/>
      <c r="R304" s="7"/>
      <c r="S304" s="7"/>
    </row>
    <row r="305" spans="1:19" s="28" customFormat="1" hidden="1">
      <c r="A305" s="7"/>
      <c r="O305" s="7"/>
      <c r="P305" s="7"/>
      <c r="Q305" s="7"/>
      <c r="R305" s="7"/>
      <c r="S305" s="7"/>
    </row>
    <row r="306" spans="1:19" s="28" customFormat="1" hidden="1">
      <c r="A306" s="7"/>
      <c r="O306" s="7"/>
      <c r="P306" s="7"/>
      <c r="Q306" s="7"/>
      <c r="R306" s="7"/>
      <c r="S306" s="7"/>
    </row>
    <row r="307" spans="1:19" s="28" customFormat="1" hidden="1">
      <c r="A307" s="7"/>
      <c r="O307" s="7"/>
      <c r="P307" s="7"/>
      <c r="Q307" s="7"/>
      <c r="R307" s="7"/>
      <c r="S307" s="7"/>
    </row>
    <row r="308" spans="1:19" s="28" customFormat="1" hidden="1">
      <c r="A308" s="7"/>
      <c r="O308" s="7"/>
      <c r="P308" s="7"/>
      <c r="Q308" s="7"/>
      <c r="R308" s="7"/>
      <c r="S308" s="7"/>
    </row>
    <row r="309" spans="1:19" s="28" customFormat="1" hidden="1">
      <c r="A309" s="7"/>
      <c r="O309" s="7"/>
      <c r="P309" s="7"/>
      <c r="Q309" s="7"/>
      <c r="R309" s="7"/>
      <c r="S309" s="7"/>
    </row>
    <row r="310" spans="1:19" s="28" customFormat="1" hidden="1">
      <c r="A310" s="7"/>
      <c r="O310" s="7"/>
      <c r="P310" s="7"/>
      <c r="Q310" s="7"/>
      <c r="R310" s="7"/>
      <c r="S310" s="7"/>
    </row>
    <row r="311" spans="1:19" s="28" customFormat="1" hidden="1">
      <c r="A311" s="7"/>
      <c r="O311" s="7"/>
      <c r="P311" s="7"/>
      <c r="Q311" s="7"/>
      <c r="R311" s="7"/>
      <c r="S311" s="7"/>
    </row>
    <row r="312" spans="1:19" s="28" customFormat="1" hidden="1">
      <c r="A312" s="7"/>
      <c r="O312" s="7"/>
      <c r="P312" s="7"/>
      <c r="Q312" s="7"/>
      <c r="R312" s="7"/>
      <c r="S312" s="7"/>
    </row>
    <row r="313" spans="1:19" s="28" customFormat="1" hidden="1">
      <c r="A313" s="7"/>
      <c r="O313" s="7"/>
      <c r="P313" s="7"/>
      <c r="Q313" s="7"/>
      <c r="R313" s="7"/>
      <c r="S313" s="7"/>
    </row>
    <row r="314" spans="1:19" s="28" customFormat="1" hidden="1">
      <c r="A314" s="7"/>
      <c r="O314" s="7"/>
      <c r="P314" s="7"/>
      <c r="Q314" s="7"/>
      <c r="R314" s="7"/>
      <c r="S314" s="7"/>
    </row>
    <row r="315" spans="1:19" s="28" customFormat="1" hidden="1">
      <c r="A315" s="7"/>
      <c r="O315" s="7"/>
      <c r="P315" s="7"/>
      <c r="Q315" s="7"/>
      <c r="R315" s="7"/>
      <c r="S315" s="7"/>
    </row>
    <row r="316" spans="1:19" s="28" customFormat="1" hidden="1">
      <c r="A316" s="7"/>
      <c r="O316" s="7"/>
      <c r="P316" s="7"/>
      <c r="Q316" s="7"/>
      <c r="R316" s="7"/>
      <c r="S316" s="7"/>
    </row>
    <row r="317" spans="1:19" s="28" customFormat="1" hidden="1">
      <c r="A317" s="7"/>
      <c r="O317" s="7"/>
      <c r="P317" s="7"/>
      <c r="Q317" s="7"/>
      <c r="R317" s="7"/>
      <c r="S317" s="7"/>
    </row>
    <row r="318" spans="1:19" s="28" customFormat="1" hidden="1">
      <c r="A318" s="7"/>
      <c r="O318" s="7"/>
      <c r="P318" s="7"/>
      <c r="Q318" s="7"/>
      <c r="R318" s="7"/>
      <c r="S318" s="7"/>
    </row>
    <row r="319" spans="1:19" s="28" customFormat="1" hidden="1">
      <c r="A319" s="7"/>
      <c r="O319" s="7"/>
      <c r="P319" s="7"/>
      <c r="Q319" s="7"/>
      <c r="R319" s="7"/>
      <c r="S319" s="7"/>
    </row>
    <row r="320" spans="1:19" s="28" customFormat="1" hidden="1">
      <c r="A320" s="7"/>
      <c r="O320" s="7"/>
      <c r="P320" s="7"/>
      <c r="Q320" s="7"/>
      <c r="R320" s="7"/>
      <c r="S320" s="7"/>
    </row>
    <row r="321" spans="1:19" s="28" customFormat="1" hidden="1">
      <c r="A321" s="7"/>
      <c r="O321" s="7"/>
      <c r="P321" s="7"/>
      <c r="Q321" s="7"/>
      <c r="R321" s="7"/>
      <c r="S321" s="7"/>
    </row>
    <row r="322" spans="1:19" s="28" customFormat="1" hidden="1">
      <c r="A322" s="7"/>
      <c r="O322" s="7"/>
      <c r="P322" s="7"/>
      <c r="Q322" s="7"/>
      <c r="R322" s="7"/>
      <c r="S322" s="7"/>
    </row>
    <row r="323" spans="1:19" s="28" customFormat="1" hidden="1">
      <c r="A323" s="7"/>
      <c r="O323" s="7"/>
      <c r="P323" s="7"/>
      <c r="Q323" s="7"/>
      <c r="R323" s="7"/>
      <c r="S323" s="7"/>
    </row>
    <row r="324" spans="1:19" s="28" customFormat="1" hidden="1">
      <c r="A324" s="7"/>
      <c r="O324" s="7"/>
      <c r="P324" s="7"/>
      <c r="Q324" s="7"/>
      <c r="R324" s="7"/>
      <c r="S324" s="7"/>
    </row>
    <row r="325" spans="1:19" s="28" customFormat="1" hidden="1">
      <c r="A325" s="7"/>
      <c r="O325" s="7"/>
      <c r="P325" s="7"/>
      <c r="Q325" s="7"/>
      <c r="R325" s="7"/>
      <c r="S325" s="7"/>
    </row>
    <row r="326" spans="1:19" s="28" customFormat="1" hidden="1">
      <c r="A326" s="7"/>
      <c r="O326" s="7"/>
      <c r="P326" s="7"/>
      <c r="Q326" s="7"/>
      <c r="R326" s="7"/>
      <c r="S326" s="7"/>
    </row>
    <row r="327" spans="1:19" s="28" customFormat="1" hidden="1">
      <c r="A327" s="7"/>
      <c r="O327" s="7"/>
      <c r="P327" s="7"/>
      <c r="Q327" s="7"/>
      <c r="R327" s="7"/>
      <c r="S327" s="7"/>
    </row>
    <row r="328" spans="1:19" s="28" customFormat="1" hidden="1">
      <c r="A328" s="7"/>
      <c r="O328" s="7"/>
      <c r="P328" s="7"/>
      <c r="Q328" s="7"/>
      <c r="R328" s="7"/>
      <c r="S328" s="7"/>
    </row>
    <row r="329" spans="1:19" s="28" customFormat="1" hidden="1">
      <c r="A329" s="7"/>
      <c r="O329" s="7"/>
      <c r="P329" s="7"/>
      <c r="Q329" s="7"/>
      <c r="R329" s="7"/>
      <c r="S329" s="7"/>
    </row>
    <row r="330" spans="1:19" s="28" customFormat="1" hidden="1">
      <c r="A330" s="7"/>
      <c r="O330" s="7"/>
      <c r="P330" s="7"/>
      <c r="Q330" s="7"/>
      <c r="R330" s="7"/>
      <c r="S330" s="7"/>
    </row>
    <row r="331" spans="1:19" s="28" customFormat="1" hidden="1">
      <c r="A331" s="7"/>
      <c r="O331" s="7"/>
      <c r="P331" s="7"/>
      <c r="Q331" s="7"/>
      <c r="R331" s="7"/>
      <c r="S331" s="7"/>
    </row>
    <row r="332" spans="1:19" s="28" customFormat="1" hidden="1">
      <c r="A332" s="7"/>
      <c r="O332" s="7"/>
      <c r="P332" s="7"/>
      <c r="Q332" s="7"/>
      <c r="R332" s="7"/>
      <c r="S332" s="7"/>
    </row>
    <row r="333" spans="1:19" s="28" customFormat="1" hidden="1">
      <c r="A333" s="7"/>
      <c r="O333" s="7"/>
      <c r="P333" s="7"/>
      <c r="Q333" s="7"/>
      <c r="R333" s="7"/>
      <c r="S333" s="7"/>
    </row>
    <row r="334" spans="1:19" s="28" customFormat="1" hidden="1">
      <c r="A334" s="7"/>
      <c r="O334" s="7"/>
      <c r="P334" s="7"/>
      <c r="Q334" s="7"/>
      <c r="R334" s="7"/>
      <c r="S334" s="7"/>
    </row>
    <row r="335" spans="1:19" s="28" customFormat="1" hidden="1">
      <c r="A335" s="7"/>
      <c r="O335" s="7"/>
      <c r="P335" s="7"/>
      <c r="Q335" s="7"/>
      <c r="R335" s="7"/>
      <c r="S335" s="7"/>
    </row>
    <row r="336" spans="1:19" s="28" customFormat="1" hidden="1">
      <c r="A336" s="7"/>
      <c r="O336" s="7"/>
      <c r="P336" s="7"/>
      <c r="Q336" s="7"/>
      <c r="R336" s="7"/>
      <c r="S336" s="7"/>
    </row>
    <row r="337" spans="1:19" s="28" customFormat="1" hidden="1">
      <c r="A337" s="7"/>
      <c r="O337" s="7"/>
      <c r="P337" s="7"/>
      <c r="Q337" s="7"/>
      <c r="R337" s="7"/>
      <c r="S337" s="7"/>
    </row>
    <row r="338" spans="1:19" s="28" customFormat="1" hidden="1">
      <c r="A338" s="7"/>
      <c r="O338" s="7"/>
      <c r="P338" s="7"/>
      <c r="Q338" s="7"/>
      <c r="R338" s="7"/>
      <c r="S338" s="7"/>
    </row>
    <row r="339" spans="1:19" s="28" customFormat="1" hidden="1">
      <c r="A339" s="7"/>
      <c r="O339" s="7"/>
      <c r="P339" s="7"/>
      <c r="Q339" s="7"/>
      <c r="R339" s="7"/>
      <c r="S339" s="7"/>
    </row>
    <row r="340" spans="1:19" s="28" customFormat="1" hidden="1">
      <c r="A340" s="7"/>
      <c r="O340" s="7"/>
      <c r="P340" s="7"/>
      <c r="Q340" s="7"/>
      <c r="R340" s="7"/>
      <c r="S340" s="7"/>
    </row>
    <row r="341" spans="1:19" s="28" customFormat="1" hidden="1">
      <c r="A341" s="7"/>
      <c r="O341" s="7"/>
      <c r="P341" s="7"/>
      <c r="Q341" s="7"/>
      <c r="R341" s="7"/>
      <c r="S341" s="7"/>
    </row>
    <row r="342" spans="1:19" s="28" customFormat="1" hidden="1">
      <c r="A342" s="7"/>
      <c r="O342" s="7"/>
      <c r="P342" s="7"/>
      <c r="Q342" s="7"/>
      <c r="R342" s="7"/>
      <c r="S342" s="7"/>
    </row>
    <row r="343" spans="1:19" s="28" customFormat="1" hidden="1">
      <c r="A343" s="7"/>
      <c r="O343" s="7"/>
      <c r="P343" s="7"/>
      <c r="Q343" s="7"/>
      <c r="R343" s="7"/>
      <c r="S343" s="7"/>
    </row>
    <row r="344" spans="1:19" s="28" customFormat="1" hidden="1">
      <c r="O344" s="7"/>
      <c r="P344" s="7"/>
      <c r="Q344" s="7"/>
      <c r="R344" s="7"/>
      <c r="S344" s="7"/>
    </row>
    <row r="345" spans="1:19" s="28" customFormat="1" hidden="1">
      <c r="O345" s="7"/>
      <c r="P345" s="7"/>
      <c r="Q345" s="7"/>
      <c r="R345" s="7"/>
      <c r="S345" s="7"/>
    </row>
    <row r="346" spans="1:19" s="28" customFormat="1" hidden="1">
      <c r="O346" s="7"/>
      <c r="P346" s="7"/>
      <c r="Q346" s="7"/>
      <c r="R346" s="7"/>
      <c r="S346" s="7"/>
    </row>
    <row r="347" spans="1:19" s="28" customFormat="1" hidden="1">
      <c r="O347" s="7"/>
      <c r="P347" s="7"/>
      <c r="Q347" s="7"/>
      <c r="R347" s="7"/>
      <c r="S347" s="7"/>
    </row>
    <row r="348" spans="1:19" s="28" customFormat="1" hidden="1">
      <c r="O348" s="7"/>
      <c r="P348" s="7"/>
      <c r="Q348" s="7"/>
      <c r="R348" s="7"/>
      <c r="S348" s="7"/>
    </row>
    <row r="349" spans="1:19" s="28" customFormat="1" hidden="1">
      <c r="O349" s="7"/>
      <c r="P349" s="7"/>
      <c r="Q349" s="7"/>
      <c r="R349" s="7"/>
      <c r="S349" s="7"/>
    </row>
    <row r="350" spans="1:19" s="28" customFormat="1" hidden="1">
      <c r="O350" s="7"/>
      <c r="P350" s="7"/>
      <c r="Q350" s="7"/>
      <c r="R350" s="7"/>
      <c r="S350" s="7"/>
    </row>
    <row r="351" spans="1:19" s="28" customFormat="1" hidden="1">
      <c r="O351" s="7"/>
      <c r="P351" s="7"/>
      <c r="Q351" s="7"/>
      <c r="R351" s="7"/>
      <c r="S351" s="7"/>
    </row>
    <row r="352" spans="1:19" s="28" customFormat="1" hidden="1">
      <c r="O352" s="7"/>
      <c r="P352" s="7"/>
      <c r="Q352" s="7"/>
      <c r="R352" s="7"/>
      <c r="S352" s="7"/>
    </row>
    <row r="353" spans="15:19" s="28" customFormat="1" hidden="1">
      <c r="O353" s="7"/>
      <c r="P353" s="7"/>
      <c r="Q353" s="7"/>
      <c r="R353" s="7"/>
      <c r="S353" s="7"/>
    </row>
    <row r="354" spans="15:19" s="28" customFormat="1" hidden="1">
      <c r="O354" s="7"/>
      <c r="P354" s="7"/>
      <c r="Q354" s="7"/>
      <c r="R354" s="7"/>
      <c r="S354" s="7"/>
    </row>
    <row r="355" spans="15:19" s="28" customFormat="1" hidden="1">
      <c r="O355" s="7"/>
      <c r="P355" s="7"/>
      <c r="Q355" s="7"/>
      <c r="R355" s="7"/>
      <c r="S355" s="7"/>
    </row>
    <row r="356" spans="15:19" s="28" customFormat="1" hidden="1">
      <c r="O356" s="7"/>
      <c r="P356" s="7"/>
      <c r="Q356" s="7"/>
      <c r="R356" s="7"/>
      <c r="S356" s="7"/>
    </row>
    <row r="357" spans="15:19" s="28" customFormat="1" hidden="1">
      <c r="O357" s="7"/>
      <c r="P357" s="7"/>
      <c r="Q357" s="7"/>
      <c r="R357" s="7"/>
      <c r="S357" s="7"/>
    </row>
    <row r="358" spans="15:19" s="28" customFormat="1" hidden="1">
      <c r="O358" s="7"/>
      <c r="P358" s="7"/>
      <c r="Q358" s="7"/>
      <c r="R358" s="7"/>
      <c r="S358" s="7"/>
    </row>
    <row r="359" spans="15:19" s="28" customFormat="1" hidden="1">
      <c r="O359" s="7"/>
      <c r="P359" s="7"/>
      <c r="Q359" s="7"/>
      <c r="R359" s="7"/>
      <c r="S359" s="7"/>
    </row>
    <row r="360" spans="15:19" s="28" customFormat="1" hidden="1">
      <c r="O360" s="7"/>
      <c r="P360" s="7"/>
      <c r="Q360" s="7"/>
      <c r="R360" s="7"/>
      <c r="S360" s="7"/>
    </row>
    <row r="361" spans="15:19" s="28" customFormat="1" hidden="1">
      <c r="O361" s="7"/>
      <c r="P361" s="7"/>
      <c r="Q361" s="7"/>
      <c r="R361" s="7"/>
      <c r="S361" s="7"/>
    </row>
    <row r="362" spans="15:19" s="28" customFormat="1" hidden="1">
      <c r="O362" s="7"/>
      <c r="P362" s="7"/>
      <c r="Q362" s="7"/>
      <c r="R362" s="7"/>
      <c r="S362" s="7"/>
    </row>
    <row r="363" spans="15:19" s="28" customFormat="1" hidden="1">
      <c r="O363" s="7"/>
      <c r="P363" s="7"/>
      <c r="Q363" s="7"/>
      <c r="R363" s="7"/>
      <c r="S363" s="7"/>
    </row>
    <row r="364" spans="15:19" s="28" customFormat="1" hidden="1">
      <c r="O364" s="7"/>
      <c r="P364" s="7"/>
      <c r="Q364" s="7"/>
      <c r="R364" s="7"/>
      <c r="S364" s="7"/>
    </row>
    <row r="365" spans="15:19" s="28" customFormat="1" hidden="1">
      <c r="O365" s="7"/>
      <c r="P365" s="7"/>
      <c r="Q365" s="7"/>
      <c r="R365" s="7"/>
      <c r="S365" s="7"/>
    </row>
    <row r="366" spans="15:19" s="28" customFormat="1" hidden="1">
      <c r="O366" s="7"/>
      <c r="P366" s="7"/>
      <c r="Q366" s="7"/>
      <c r="R366" s="7"/>
      <c r="S366" s="7"/>
    </row>
    <row r="367" spans="15:19" s="28" customFormat="1" hidden="1">
      <c r="O367" s="7"/>
      <c r="P367" s="7"/>
      <c r="Q367" s="7"/>
      <c r="R367" s="7"/>
      <c r="S367" s="7"/>
    </row>
    <row r="368" spans="15:19" s="28" customFormat="1" hidden="1">
      <c r="O368" s="7"/>
      <c r="P368" s="7"/>
      <c r="Q368" s="7"/>
      <c r="R368" s="7"/>
      <c r="S368" s="7"/>
    </row>
    <row r="369" spans="15:19" s="28" customFormat="1" hidden="1">
      <c r="O369" s="7"/>
      <c r="P369" s="7"/>
      <c r="Q369" s="7"/>
      <c r="R369" s="7"/>
      <c r="S369" s="7"/>
    </row>
    <row r="370" spans="15:19" s="28" customFormat="1" hidden="1">
      <c r="O370" s="7"/>
      <c r="P370" s="7"/>
      <c r="Q370" s="7"/>
      <c r="R370" s="7"/>
      <c r="S370" s="7"/>
    </row>
    <row r="371" spans="15:19" s="28" customFormat="1" hidden="1">
      <c r="O371" s="7"/>
      <c r="P371" s="7"/>
      <c r="Q371" s="7"/>
      <c r="R371" s="7"/>
      <c r="S371" s="7"/>
    </row>
    <row r="372" spans="15:19" s="28" customFormat="1" hidden="1">
      <c r="O372" s="7"/>
      <c r="P372" s="7"/>
      <c r="Q372" s="7"/>
      <c r="R372" s="7"/>
      <c r="S372" s="7"/>
    </row>
    <row r="373" spans="15:19" s="28" customFormat="1" hidden="1">
      <c r="O373" s="7"/>
      <c r="P373" s="7"/>
      <c r="Q373" s="7"/>
      <c r="R373" s="7"/>
      <c r="S373" s="7"/>
    </row>
    <row r="374" spans="15:19" s="28" customFormat="1" hidden="1">
      <c r="O374" s="7"/>
      <c r="P374" s="7"/>
      <c r="Q374" s="7"/>
      <c r="R374" s="7"/>
      <c r="S374" s="7"/>
    </row>
    <row r="375" spans="15:19" s="28" customFormat="1" hidden="1">
      <c r="O375" s="7"/>
      <c r="P375" s="7"/>
      <c r="Q375" s="7"/>
      <c r="R375" s="7"/>
      <c r="S375" s="7"/>
    </row>
    <row r="376" spans="15:19" s="28" customFormat="1" hidden="1">
      <c r="O376" s="7"/>
      <c r="P376" s="7"/>
      <c r="Q376" s="7"/>
      <c r="R376" s="7"/>
      <c r="S376" s="7"/>
    </row>
    <row r="377" spans="15:19" s="28" customFormat="1" hidden="1">
      <c r="O377" s="7"/>
      <c r="P377" s="7"/>
      <c r="Q377" s="7"/>
      <c r="R377" s="7"/>
      <c r="S377" s="7"/>
    </row>
    <row r="378" spans="15:19" s="28" customFormat="1" hidden="1">
      <c r="O378" s="7"/>
      <c r="P378" s="7"/>
      <c r="Q378" s="7"/>
      <c r="R378" s="7"/>
      <c r="S378" s="7"/>
    </row>
    <row r="379" spans="15:19" s="28" customFormat="1" hidden="1">
      <c r="O379" s="7"/>
      <c r="P379" s="7"/>
      <c r="Q379" s="7"/>
      <c r="R379" s="7"/>
      <c r="S379" s="7"/>
    </row>
    <row r="380" spans="15:19" s="28" customFormat="1" hidden="1">
      <c r="O380" s="7"/>
      <c r="P380" s="7"/>
      <c r="Q380" s="7"/>
      <c r="R380" s="7"/>
      <c r="S380" s="7"/>
    </row>
    <row r="381" spans="15:19" s="28" customFormat="1" hidden="1">
      <c r="O381" s="7"/>
      <c r="P381" s="7"/>
      <c r="Q381" s="7"/>
      <c r="R381" s="7"/>
      <c r="S381" s="7"/>
    </row>
    <row r="382" spans="15:19" s="28" customFormat="1" hidden="1">
      <c r="O382" s="7"/>
      <c r="P382" s="7"/>
      <c r="Q382" s="7"/>
      <c r="R382" s="7"/>
      <c r="S382" s="7"/>
    </row>
    <row r="383" spans="15:19" s="28" customFormat="1" hidden="1">
      <c r="O383" s="7"/>
      <c r="P383" s="7"/>
      <c r="Q383" s="7"/>
      <c r="R383" s="7"/>
      <c r="S383" s="7"/>
    </row>
    <row r="384" spans="15:19" s="28" customFormat="1" hidden="1">
      <c r="O384" s="7"/>
      <c r="P384" s="7"/>
      <c r="Q384" s="7"/>
      <c r="R384" s="7"/>
      <c r="S384" s="7"/>
    </row>
    <row r="385" spans="15:19" s="28" customFormat="1" hidden="1">
      <c r="O385" s="7"/>
      <c r="P385" s="7"/>
      <c r="Q385" s="7"/>
      <c r="R385" s="7"/>
      <c r="S385" s="7"/>
    </row>
    <row r="386" spans="15:19" s="28" customFormat="1" hidden="1">
      <c r="O386" s="7"/>
      <c r="P386" s="7"/>
      <c r="Q386" s="7"/>
      <c r="R386" s="7"/>
      <c r="S386" s="7"/>
    </row>
    <row r="387" spans="15:19" s="28" customFormat="1">
      <c r="O387" s="7"/>
      <c r="P387" s="7"/>
      <c r="Q387" s="7"/>
      <c r="R387" s="7"/>
      <c r="S387" s="7"/>
    </row>
    <row r="388" spans="15:19" s="28" customFormat="1">
      <c r="O388" s="7"/>
      <c r="P388" s="7"/>
      <c r="Q388" s="7"/>
      <c r="R388" s="7"/>
      <c r="S388" s="7"/>
    </row>
    <row r="389" spans="15:19" s="28" customFormat="1">
      <c r="O389" s="7"/>
      <c r="P389" s="7"/>
      <c r="Q389" s="7"/>
      <c r="R389" s="7"/>
      <c r="S389" s="7"/>
    </row>
    <row r="390" spans="15:19" s="28" customFormat="1">
      <c r="O390" s="7"/>
      <c r="P390" s="7"/>
      <c r="Q390" s="7"/>
      <c r="R390" s="7"/>
      <c r="S390" s="7"/>
    </row>
    <row r="391" spans="15:19" s="28" customFormat="1">
      <c r="O391" s="7"/>
      <c r="P391" s="7"/>
      <c r="Q391" s="7"/>
      <c r="R391" s="7"/>
      <c r="S391" s="7"/>
    </row>
    <row r="392" spans="15:19" s="28" customFormat="1">
      <c r="O392" s="7"/>
      <c r="P392" s="7"/>
      <c r="Q392" s="7"/>
      <c r="R392" s="7"/>
      <c r="S392" s="7"/>
    </row>
    <row r="393" spans="15:19" s="28" customFormat="1">
      <c r="O393" s="7"/>
      <c r="P393" s="7"/>
      <c r="Q393" s="7"/>
      <c r="R393" s="7"/>
      <c r="S393" s="7"/>
    </row>
    <row r="394" spans="15:19" s="28" customFormat="1">
      <c r="O394" s="7"/>
      <c r="P394" s="7"/>
      <c r="Q394" s="7"/>
      <c r="R394" s="7"/>
      <c r="S394" s="7"/>
    </row>
    <row r="395" spans="15:19" s="28" customFormat="1">
      <c r="O395" s="7"/>
      <c r="P395" s="7"/>
      <c r="Q395" s="7"/>
      <c r="R395" s="7"/>
      <c r="S395" s="7"/>
    </row>
    <row r="396" spans="15:19" s="28" customFormat="1">
      <c r="O396" s="7"/>
      <c r="P396" s="7"/>
      <c r="Q396" s="7"/>
      <c r="R396" s="7"/>
      <c r="S396" s="7"/>
    </row>
    <row r="397" spans="15:19" s="28" customFormat="1">
      <c r="O397" s="7"/>
      <c r="P397" s="7"/>
      <c r="Q397" s="7"/>
      <c r="R397" s="7"/>
      <c r="S397" s="7"/>
    </row>
    <row r="398" spans="15:19" s="28" customFormat="1">
      <c r="O398" s="7"/>
      <c r="P398" s="7"/>
      <c r="Q398" s="7"/>
      <c r="R398" s="7"/>
      <c r="S398" s="7"/>
    </row>
    <row r="399" spans="15:19" s="28" customFormat="1">
      <c r="O399" s="7"/>
      <c r="P399" s="7"/>
      <c r="Q399" s="7"/>
      <c r="R399" s="7"/>
      <c r="S399" s="7"/>
    </row>
    <row r="400" spans="15:19" s="28" customFormat="1">
      <c r="O400" s="7"/>
      <c r="P400" s="7"/>
      <c r="Q400" s="7"/>
      <c r="R400" s="7"/>
      <c r="S400" s="7"/>
    </row>
    <row r="401" spans="15:19" s="28" customFormat="1">
      <c r="O401" s="7"/>
      <c r="P401" s="7"/>
      <c r="Q401" s="7"/>
      <c r="R401" s="7"/>
      <c r="S401" s="7"/>
    </row>
    <row r="402" spans="15:19" s="28" customFormat="1">
      <c r="O402" s="7"/>
      <c r="P402" s="7"/>
      <c r="Q402" s="7"/>
      <c r="R402" s="7"/>
      <c r="S402" s="7"/>
    </row>
    <row r="403" spans="15:19" s="28" customFormat="1">
      <c r="O403" s="7"/>
      <c r="P403" s="7"/>
      <c r="Q403" s="7"/>
      <c r="R403" s="7"/>
      <c r="S403" s="7"/>
    </row>
    <row r="404" spans="15:19" s="28" customFormat="1">
      <c r="O404" s="7"/>
      <c r="P404" s="7"/>
      <c r="Q404" s="7"/>
      <c r="R404" s="7"/>
      <c r="S404" s="7"/>
    </row>
    <row r="405" spans="15:19" s="28" customFormat="1">
      <c r="O405" s="7"/>
      <c r="P405" s="7"/>
      <c r="Q405" s="7"/>
      <c r="R405" s="7"/>
      <c r="S405" s="7"/>
    </row>
    <row r="406" spans="15:19" s="28" customFormat="1">
      <c r="O406" s="7"/>
      <c r="P406" s="7"/>
      <c r="Q406" s="7"/>
      <c r="R406" s="7"/>
      <c r="S406" s="7"/>
    </row>
    <row r="407" spans="15:19" s="28" customFormat="1">
      <c r="O407" s="7"/>
      <c r="P407" s="7"/>
      <c r="Q407" s="7"/>
      <c r="R407" s="7"/>
      <c r="S407" s="7"/>
    </row>
    <row r="408" spans="15:19" s="28" customFormat="1">
      <c r="O408" s="7"/>
      <c r="P408" s="7"/>
      <c r="Q408" s="7"/>
      <c r="R408" s="7"/>
      <c r="S408" s="7"/>
    </row>
    <row r="409" spans="15:19" s="28" customFormat="1">
      <c r="O409" s="7"/>
      <c r="P409" s="7"/>
      <c r="Q409" s="7"/>
      <c r="R409" s="7"/>
      <c r="S409" s="7"/>
    </row>
    <row r="410" spans="15:19" s="28" customFormat="1">
      <c r="O410" s="7"/>
      <c r="P410" s="7"/>
      <c r="Q410" s="7"/>
      <c r="R410" s="7"/>
      <c r="S410" s="7"/>
    </row>
    <row r="411" spans="15:19" s="28" customFormat="1">
      <c r="O411" s="7"/>
      <c r="P411" s="7"/>
      <c r="Q411" s="7"/>
      <c r="R411" s="7"/>
      <c r="S411" s="7"/>
    </row>
    <row r="412" spans="15:19" s="28" customFormat="1">
      <c r="O412" s="7"/>
      <c r="P412" s="7"/>
      <c r="Q412" s="7"/>
      <c r="R412" s="7"/>
      <c r="S412" s="7"/>
    </row>
    <row r="413" spans="15:19" s="28" customFormat="1">
      <c r="O413" s="7"/>
      <c r="P413" s="7"/>
      <c r="Q413" s="7"/>
      <c r="R413" s="7"/>
      <c r="S413" s="7"/>
    </row>
    <row r="414" spans="15:19" s="28" customFormat="1">
      <c r="O414" s="7"/>
      <c r="P414" s="7"/>
      <c r="Q414" s="7"/>
      <c r="R414" s="7"/>
      <c r="S414" s="7"/>
    </row>
    <row r="415" spans="15:19" s="28" customFormat="1">
      <c r="O415" s="7"/>
      <c r="P415" s="7"/>
      <c r="Q415" s="7"/>
      <c r="R415" s="7"/>
      <c r="S415" s="7"/>
    </row>
    <row r="416" spans="15:19" s="28" customFormat="1">
      <c r="O416" s="7"/>
      <c r="P416" s="7"/>
      <c r="Q416" s="7"/>
      <c r="R416" s="7"/>
      <c r="S416" s="7"/>
    </row>
    <row r="417" spans="7:19" s="28" customFormat="1">
      <c r="O417" s="7"/>
      <c r="P417" s="7"/>
      <c r="Q417" s="7"/>
      <c r="R417" s="7"/>
      <c r="S417" s="7"/>
    </row>
    <row r="418" spans="7:19" s="28" customFormat="1">
      <c r="O418" s="7"/>
      <c r="P418" s="7"/>
      <c r="Q418" s="7"/>
      <c r="R418" s="7"/>
      <c r="S418" s="7"/>
    </row>
    <row r="419" spans="7:19" s="28" customFormat="1">
      <c r="O419" s="7"/>
      <c r="P419" s="7"/>
      <c r="Q419" s="7"/>
      <c r="R419" s="7"/>
      <c r="S419" s="7"/>
    </row>
    <row r="420" spans="7:19" s="28" customFormat="1">
      <c r="O420" s="7"/>
      <c r="P420" s="7"/>
      <c r="Q420" s="7"/>
      <c r="R420" s="7"/>
      <c r="S420" s="7"/>
    </row>
    <row r="421" spans="7:19" s="28" customFormat="1">
      <c r="O421" s="7"/>
      <c r="P421" s="7"/>
      <c r="Q421" s="7"/>
      <c r="R421" s="7"/>
      <c r="S421" s="7"/>
    </row>
    <row r="422" spans="7:19" s="28" customFormat="1">
      <c r="O422" s="7"/>
      <c r="P422" s="7"/>
      <c r="Q422" s="7"/>
      <c r="R422" s="7"/>
      <c r="S422" s="7"/>
    </row>
    <row r="423" spans="7:19" s="28" customFormat="1">
      <c r="O423" s="7"/>
      <c r="P423" s="7"/>
      <c r="Q423" s="7"/>
      <c r="R423" s="7"/>
      <c r="S423" s="7"/>
    </row>
    <row r="424" spans="7:19" s="28" customFormat="1">
      <c r="O424" s="7"/>
      <c r="P424" s="7"/>
      <c r="Q424" s="7"/>
      <c r="R424" s="7"/>
      <c r="S424" s="7"/>
    </row>
    <row r="425" spans="7:19" s="28" customFormat="1">
      <c r="O425" s="7"/>
      <c r="P425" s="7"/>
      <c r="Q425" s="7"/>
      <c r="R425" s="7"/>
      <c r="S425" s="7"/>
    </row>
    <row r="426" spans="7:19" s="28" customFormat="1">
      <c r="O426" s="7"/>
      <c r="P426" s="7"/>
      <c r="Q426" s="7"/>
      <c r="R426" s="7"/>
      <c r="S426" s="7"/>
    </row>
    <row r="427" spans="7:19" s="28" customFormat="1">
      <c r="O427" s="7"/>
      <c r="P427" s="7"/>
      <c r="Q427" s="7"/>
      <c r="R427" s="7"/>
      <c r="S427" s="7"/>
    </row>
    <row r="428" spans="7:19" s="28" customFormat="1">
      <c r="O428" s="7"/>
      <c r="P428" s="7"/>
      <c r="Q428" s="7"/>
      <c r="R428" s="7"/>
      <c r="S428" s="7"/>
    </row>
    <row r="429" spans="7:19" s="28" customFormat="1">
      <c r="O429" s="7"/>
      <c r="P429" s="7"/>
      <c r="Q429" s="7"/>
      <c r="R429" s="7"/>
      <c r="S429" s="7"/>
    </row>
    <row r="430" spans="7:19" s="28" customFormat="1">
      <c r="O430" s="7"/>
      <c r="P430" s="7"/>
      <c r="Q430" s="7"/>
      <c r="R430" s="7"/>
      <c r="S430" s="7"/>
    </row>
    <row r="431" spans="7:19" s="28" customFormat="1">
      <c r="O431" s="7"/>
      <c r="P431" s="7"/>
      <c r="Q431" s="7"/>
      <c r="R431" s="7"/>
      <c r="S431" s="7"/>
    </row>
    <row r="432" spans="7:19" s="28" customFormat="1">
      <c r="G432" s="89"/>
      <c r="O432" s="7"/>
      <c r="P432" s="7"/>
      <c r="Q432" s="7"/>
      <c r="R432" s="7"/>
      <c r="S432" s="7"/>
    </row>
    <row r="433" spans="7:19" s="28" customFormat="1">
      <c r="G433" s="89"/>
      <c r="O433" s="7"/>
      <c r="P433" s="7"/>
      <c r="Q433" s="7"/>
      <c r="R433" s="7"/>
      <c r="S433" s="7"/>
    </row>
    <row r="434" spans="7:19" s="28" customFormat="1">
      <c r="G434" s="89"/>
      <c r="O434" s="7"/>
      <c r="P434" s="7"/>
      <c r="Q434" s="7"/>
      <c r="R434" s="7"/>
      <c r="S434" s="7"/>
    </row>
    <row r="435" spans="7:19" s="28" customFormat="1">
      <c r="G435" s="89"/>
      <c r="O435" s="7"/>
      <c r="P435" s="7"/>
      <c r="Q435" s="7"/>
      <c r="R435" s="7"/>
      <c r="S435" s="7"/>
    </row>
    <row r="436" spans="7:19" s="134" customFormat="1">
      <c r="G436" s="89"/>
      <c r="O436" s="3"/>
      <c r="P436" s="3"/>
      <c r="Q436" s="3"/>
      <c r="R436" s="3"/>
      <c r="S436" s="3"/>
    </row>
    <row r="437" spans="7:19" s="134" customFormat="1">
      <c r="G437" s="89"/>
      <c r="O437" s="3"/>
      <c r="P437" s="3"/>
      <c r="Q437" s="3"/>
      <c r="R437" s="3"/>
      <c r="S437" s="3"/>
    </row>
    <row r="438" spans="7:19" s="134" customFormat="1">
      <c r="G438" s="89"/>
      <c r="O438" s="3"/>
      <c r="P438" s="3"/>
      <c r="Q438" s="3"/>
      <c r="R438" s="3"/>
      <c r="S438" s="3"/>
    </row>
    <row r="439" spans="7:19" s="28" customFormat="1">
      <c r="G439" s="89"/>
      <c r="O439" s="7"/>
      <c r="P439" s="7"/>
      <c r="Q439" s="7"/>
      <c r="R439" s="7"/>
      <c r="S439" s="7"/>
    </row>
  </sheetData>
  <sheetProtection algorithmName="SHA-512" hashValue="oeuYqD6uYStZI+K+gkz8LRmJ1Z0vJDuRjp12ZXBAqjJHc8tpI/yxOmbK3braFXAN+8qErFc48fw1sG1IrAFA+A==" saltValue="nyh5tSmYOlBbGeODkh99+w==" spinCount="100000" sheet="1" objects="1" scenarios="1"/>
  <sortState xmlns:xlrd2="http://schemas.microsoft.com/office/spreadsheetml/2017/richdata2" ref="A264:A289">
    <sortCondition ref="A264:A289"/>
  </sortState>
  <dataConsolidate link="1"/>
  <mergeCells count="93">
    <mergeCell ref="B109:F109"/>
    <mergeCell ref="B91:F91"/>
    <mergeCell ref="B108:F108"/>
    <mergeCell ref="B103:F103"/>
    <mergeCell ref="B104:F104"/>
    <mergeCell ref="B105:F105"/>
    <mergeCell ref="B106:F106"/>
    <mergeCell ref="B107:F107"/>
    <mergeCell ref="B98:F98"/>
    <mergeCell ref="B99:F99"/>
    <mergeCell ref="B100:F100"/>
    <mergeCell ref="B101:F101"/>
    <mergeCell ref="B102:F102"/>
    <mergeCell ref="B93:F93"/>
    <mergeCell ref="B94:F94"/>
    <mergeCell ref="B95:F95"/>
    <mergeCell ref="B96:F96"/>
    <mergeCell ref="B97:F97"/>
    <mergeCell ref="B90:F90"/>
    <mergeCell ref="B85:F85"/>
    <mergeCell ref="B92:F92"/>
    <mergeCell ref="B88:F88"/>
    <mergeCell ref="B89:F89"/>
    <mergeCell ref="B87:F87"/>
    <mergeCell ref="B79:F79"/>
    <mergeCell ref="B83:F83"/>
    <mergeCell ref="B82:F82"/>
    <mergeCell ref="B78:F78"/>
    <mergeCell ref="B86:F86"/>
    <mergeCell ref="B81:F81"/>
    <mergeCell ref="B80:F80"/>
    <mergeCell ref="B84:F84"/>
    <mergeCell ref="B40:C40"/>
    <mergeCell ref="B41:C41"/>
    <mergeCell ref="B42:C42"/>
    <mergeCell ref="B52:D52"/>
    <mergeCell ref="B53:D53"/>
    <mergeCell ref="B54:D54"/>
    <mergeCell ref="B55:D55"/>
    <mergeCell ref="B56:D56"/>
    <mergeCell ref="B57:D57"/>
    <mergeCell ref="B58:D58"/>
    <mergeCell ref="B59:D59"/>
    <mergeCell ref="B65:D65"/>
    <mergeCell ref="B66:D66"/>
    <mergeCell ref="B67:D67"/>
    <mergeCell ref="B60:D60"/>
    <mergeCell ref="B61:D61"/>
    <mergeCell ref="B62:D62"/>
    <mergeCell ref="B63:D63"/>
    <mergeCell ref="B64:D64"/>
    <mergeCell ref="A38:C38"/>
    <mergeCell ref="A34:C37"/>
    <mergeCell ref="A29:F29"/>
    <mergeCell ref="B11:F11"/>
    <mergeCell ref="B13:F13"/>
    <mergeCell ref="D38:F38"/>
    <mergeCell ref="B32:C32"/>
    <mergeCell ref="D33:F33"/>
    <mergeCell ref="B33:C33"/>
    <mergeCell ref="D32:F32"/>
    <mergeCell ref="D34:F37"/>
    <mergeCell ref="D14:F14"/>
    <mergeCell ref="A14:C14"/>
    <mergeCell ref="G27:G30"/>
    <mergeCell ref="E15:F15"/>
    <mergeCell ref="A16:F16"/>
    <mergeCell ref="A17:F17"/>
    <mergeCell ref="C21:F21"/>
    <mergeCell ref="C19:D19"/>
    <mergeCell ref="E22:F22"/>
    <mergeCell ref="B22:C22"/>
    <mergeCell ref="C20:D20"/>
    <mergeCell ref="A23:F23"/>
    <mergeCell ref="A30:F30"/>
    <mergeCell ref="E18:F18"/>
    <mergeCell ref="B18:D18"/>
    <mergeCell ref="G18:G19"/>
    <mergeCell ref="G20:G21"/>
    <mergeCell ref="G9:G10"/>
    <mergeCell ref="E2:F2"/>
    <mergeCell ref="G15:G16"/>
    <mergeCell ref="A3:F3"/>
    <mergeCell ref="B4:F4"/>
    <mergeCell ref="A5:B5"/>
    <mergeCell ref="D8:F8"/>
    <mergeCell ref="C5:F5"/>
    <mergeCell ref="C6:F6"/>
    <mergeCell ref="A12:B12"/>
    <mergeCell ref="C12:F12"/>
    <mergeCell ref="A10:F10"/>
    <mergeCell ref="G3:G6"/>
    <mergeCell ref="A7:E7"/>
  </mergeCells>
  <phoneticPr fontId="52" type="noConversion"/>
  <conditionalFormatting sqref="A3:F3">
    <cfRule type="containsText" dxfId="9" priority="10" operator="containsText" text="SELECTIONNER VOTRE ETABLISSEMENT DANS LA LISTE">
      <formula>NOT(ISERROR(SEARCH("SELECTIONNER VOTRE ETABLISSEMENT DANS LA LISTE",A3)))</formula>
    </cfRule>
  </conditionalFormatting>
  <conditionalFormatting sqref="A17:F17">
    <cfRule type="containsText" dxfId="8" priority="3" operator="containsText" text="SELECTIONNER L'ÉTUDE PROMOTIONNELLE DANS LA LISTE">
      <formula>NOT(ISERROR(SEARCH("SELECTIONNER L'ÉTUDE PROMOTIONNELLE DANS LA LISTE",A17)))</formula>
    </cfRule>
  </conditionalFormatting>
  <conditionalFormatting sqref="B13:F13">
    <cfRule type="containsText" dxfId="7" priority="8" operator="containsText" text="Sélectionner le grade dans la liste">
      <formula>NOT(ISERROR(SEARCH("Sélectionner le grade dans la liste",B13)))</formula>
    </cfRule>
  </conditionalFormatting>
  <conditionalFormatting sqref="D14:F14">
    <cfRule type="containsText" dxfId="6" priority="4" operator="containsText" text="Choisir :">
      <formula>NOT(ISERROR(SEARCH("Choisir :",D14)))</formula>
    </cfRule>
  </conditionalFormatting>
  <conditionalFormatting sqref="E2:F2">
    <cfRule type="containsText" dxfId="5" priority="11" operator="containsText" text="Choisir n°">
      <formula>NOT(ISERROR(SEARCH("Choisir n°",E2)))</formula>
    </cfRule>
  </conditionalFormatting>
  <conditionalFormatting sqref="E15:F15">
    <cfRule type="containsText" dxfId="4" priority="1" operator="containsText" text="Choisir">
      <formula>NOT(ISERROR(SEARCH("Choisir",E15)))</formula>
    </cfRule>
  </conditionalFormatting>
  <conditionalFormatting sqref="F9">
    <cfRule type="containsText" dxfId="3" priority="9" operator="containsText" text="Choisir">
      <formula>NOT(ISERROR(SEARCH("Choisir",F9)))</formula>
    </cfRule>
  </conditionalFormatting>
  <dataValidations count="13">
    <dataValidation type="date" operator="greaterThan" allowBlank="1" showInputMessage="1" showErrorMessage="1" error="La date de fin de scolarité doit être obligatoirement postérieure à la date de début de scolarité." sqref="C20:D20" xr:uid="{00000000-0002-0000-0100-000000000000}">
      <formula1>C19</formula1>
    </dataValidation>
    <dataValidation type="date" allowBlank="1" showInputMessage="1" showErrorMessage="1" error="La valeur que vous avez tapée n'est pas valide. Cette commission délibère sur des dossiers du second semestre 2025._x000a_" sqref="C19:D19" xr:uid="{00000000-0002-0000-0100-000001000000}">
      <formula1>45884</formula1>
      <formula2>46022</formula2>
    </dataValidation>
    <dataValidation type="list" allowBlank="1" showInputMessage="1" showErrorMessage="1" sqref="E2:F2" xr:uid="{00000000-0002-0000-0100-000002000000}">
      <formula1>$A$40:$A$93</formula1>
    </dataValidation>
    <dataValidation type="list" allowBlank="1" showInputMessage="1" showErrorMessage="1" sqref="A3:F3" xr:uid="{00000000-0002-0000-0100-000003000000}">
      <formula1>$G$40:$G$177</formula1>
    </dataValidation>
    <dataValidation type="list" allowBlank="1" showInputMessage="1" showErrorMessage="1" sqref="F7" xr:uid="{00000000-0002-0000-0100-000004000000}">
      <formula1>$B$40:$B$42</formula1>
    </dataValidation>
    <dataValidation type="list" allowBlank="1" showInputMessage="1" showErrorMessage="1" sqref="B8" xr:uid="{00000000-0002-0000-0100-000005000000}">
      <formula1>$B$44:$B$46</formula1>
    </dataValidation>
    <dataValidation type="list" allowBlank="1" showInputMessage="1" showErrorMessage="1" sqref="F9" xr:uid="{00000000-0002-0000-0100-000006000000}">
      <formula1>$B$48:$B$50</formula1>
    </dataValidation>
    <dataValidation type="list" allowBlank="1" showInputMessage="1" showErrorMessage="1" sqref="B13:F13" xr:uid="{00000000-0002-0000-0100-000007000000}">
      <formula1>$B$52:$B$68</formula1>
    </dataValidation>
    <dataValidation type="list" allowBlank="1" showInputMessage="1" showErrorMessage="1" sqref="D14:F14" xr:uid="{00000000-0002-0000-0100-000008000000}">
      <formula1>$B$69:$B$72</formula1>
    </dataValidation>
    <dataValidation type="list" allowBlank="1" showInputMessage="1" showErrorMessage="1" sqref="E15:F15" xr:uid="{00000000-0002-0000-0100-000009000000}">
      <formula1>$B$74:$B$76</formula1>
    </dataValidation>
    <dataValidation type="list" allowBlank="1" showInputMessage="1" showErrorMessage="1" sqref="A17:F17" xr:uid="{00000000-0002-0000-0100-00000A000000}">
      <formula1>$B$78:$B$109</formula1>
    </dataValidation>
    <dataValidation type="list" allowBlank="1" showInputMessage="1" showErrorMessage="1" sqref="B18:D18" xr:uid="{00000000-0002-0000-0100-00000B000000}">
      <formula1>$B$110:$B$115</formula1>
    </dataValidation>
    <dataValidation operator="greaterThan" allowBlank="1" showInputMessage="1" showErrorMessage="1" sqref="C21" xr:uid="{00000000-0002-0000-0100-00000C000000}"/>
  </dataValidations>
  <printOptions horizontalCentered="1"/>
  <pageMargins left="0" right="0" top="0" bottom="0"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00B0F0"/>
  </sheetPr>
  <dimension ref="A1:U150"/>
  <sheetViews>
    <sheetView topLeftCell="A28" zoomScaleNormal="100" workbookViewId="0">
      <selection activeCell="D24" sqref="D24"/>
    </sheetView>
  </sheetViews>
  <sheetFormatPr baseColWidth="10" defaultColWidth="11.44140625" defaultRowHeight="13.8"/>
  <cols>
    <col min="1" max="1" width="21.77734375" style="28" customWidth="1"/>
    <col min="2" max="2" width="20.21875" style="28" customWidth="1"/>
    <col min="3" max="5" width="13.77734375" style="28" customWidth="1"/>
    <col min="6" max="6" width="19.77734375" style="28" customWidth="1"/>
    <col min="7" max="7" width="107.77734375" style="28" customWidth="1"/>
    <col min="8" max="16" width="20" style="28" customWidth="1"/>
    <col min="17" max="18" width="14.21875" style="7" customWidth="1"/>
    <col min="19" max="19" width="122" style="7" bestFit="1" customWidth="1"/>
    <col min="20" max="21" width="11.44140625" style="7"/>
    <col min="22" max="16384" width="11.44140625" style="28"/>
  </cols>
  <sheetData>
    <row r="1" spans="1:21" ht="160.5" customHeight="1">
      <c r="A1" s="205"/>
      <c r="B1" s="206"/>
      <c r="C1" s="207"/>
      <c r="D1" s="207"/>
      <c r="E1" s="208"/>
      <c r="F1" s="209"/>
      <c r="G1" s="177"/>
      <c r="H1" s="37"/>
      <c r="I1" s="37"/>
      <c r="J1" s="37"/>
      <c r="K1" s="37"/>
      <c r="L1" s="37"/>
      <c r="M1" s="37"/>
      <c r="N1" s="37"/>
    </row>
    <row r="2" spans="1:21" ht="25.05" customHeight="1">
      <c r="A2" s="559" t="s">
        <v>522</v>
      </c>
      <c r="B2" s="560"/>
      <c r="C2" s="560"/>
      <c r="D2" s="560"/>
      <c r="E2" s="560"/>
      <c r="F2" s="561"/>
      <c r="G2" s="31"/>
      <c r="H2" s="39"/>
      <c r="I2" s="39"/>
      <c r="J2" s="39"/>
      <c r="K2" s="39"/>
      <c r="L2" s="39"/>
      <c r="M2" s="39"/>
      <c r="N2" s="39"/>
      <c r="O2" s="39"/>
      <c r="P2" s="39"/>
    </row>
    <row r="3" spans="1:21" ht="18" customHeight="1">
      <c r="A3" s="254" t="s">
        <v>397</v>
      </c>
      <c r="B3" s="255"/>
      <c r="C3" s="255"/>
      <c r="D3" s="255"/>
      <c r="E3" s="255"/>
      <c r="F3" s="256"/>
      <c r="G3" s="31"/>
      <c r="H3" s="39"/>
      <c r="I3" s="39"/>
      <c r="J3" s="39"/>
      <c r="K3" s="39"/>
      <c r="L3" s="39"/>
      <c r="M3" s="39"/>
      <c r="N3" s="39"/>
      <c r="O3" s="39"/>
      <c r="P3" s="39"/>
    </row>
    <row r="4" spans="1:21" ht="18" customHeight="1">
      <c r="A4" s="254" t="s">
        <v>398</v>
      </c>
      <c r="B4" s="255"/>
      <c r="C4" s="255"/>
      <c r="D4" s="255"/>
      <c r="E4" s="255"/>
      <c r="F4" s="256"/>
      <c r="G4" s="31"/>
      <c r="H4" s="39"/>
      <c r="I4" s="39"/>
      <c r="J4" s="39"/>
      <c r="K4" s="39"/>
      <c r="L4" s="39"/>
      <c r="M4" s="39"/>
      <c r="N4" s="39"/>
      <c r="O4" s="39"/>
      <c r="P4" s="39"/>
    </row>
    <row r="5" spans="1:21" s="47" customFormat="1" ht="10.199999999999999">
      <c r="A5" s="251"/>
      <c r="B5" s="246"/>
      <c r="C5" s="246"/>
      <c r="D5" s="246"/>
      <c r="E5" s="246"/>
      <c r="F5" s="252"/>
      <c r="G5" s="31"/>
      <c r="H5" s="31"/>
      <c r="I5" s="31"/>
      <c r="J5" s="31"/>
      <c r="K5" s="31"/>
      <c r="L5" s="31"/>
      <c r="M5" s="31"/>
      <c r="N5" s="31"/>
      <c r="O5" s="31"/>
      <c r="P5" s="31"/>
      <c r="Q5" s="129"/>
      <c r="R5" s="129"/>
      <c r="S5" s="129"/>
      <c r="T5" s="129"/>
      <c r="U5" s="129"/>
    </row>
    <row r="6" spans="1:21" ht="18" customHeight="1">
      <c r="A6" s="254" t="s">
        <v>399</v>
      </c>
      <c r="B6" s="255"/>
      <c r="C6" s="255"/>
      <c r="D6" s="255"/>
      <c r="E6" s="255"/>
      <c r="F6" s="256"/>
      <c r="G6" s="31"/>
      <c r="H6" s="39"/>
      <c r="I6" s="39"/>
      <c r="J6" s="39"/>
      <c r="K6" s="39"/>
      <c r="L6" s="39"/>
      <c r="M6" s="39"/>
      <c r="N6" s="39"/>
      <c r="O6" s="39"/>
      <c r="P6" s="39"/>
    </row>
    <row r="7" spans="1:21" ht="18" customHeight="1">
      <c r="A7" s="254" t="s">
        <v>391</v>
      </c>
      <c r="B7" s="255"/>
      <c r="C7" s="255"/>
      <c r="D7" s="255"/>
      <c r="E7" s="255"/>
      <c r="F7" s="256"/>
      <c r="G7" s="31"/>
      <c r="H7" s="39"/>
      <c r="I7" s="39"/>
      <c r="J7" s="39"/>
      <c r="K7" s="39"/>
      <c r="L7" s="39"/>
      <c r="M7" s="39"/>
      <c r="N7" s="39"/>
      <c r="O7" s="39"/>
      <c r="P7" s="39"/>
    </row>
    <row r="8" spans="1:21" ht="18" customHeight="1">
      <c r="A8" s="254" t="s">
        <v>392</v>
      </c>
      <c r="B8" s="255"/>
      <c r="C8" s="255"/>
      <c r="D8" s="255"/>
      <c r="E8" s="255"/>
      <c r="F8" s="256"/>
      <c r="G8" s="31"/>
      <c r="H8" s="39"/>
      <c r="I8" s="39"/>
      <c r="J8" s="39"/>
      <c r="K8" s="39"/>
      <c r="L8" s="39"/>
      <c r="M8" s="39"/>
      <c r="N8" s="39"/>
      <c r="O8" s="39"/>
      <c r="P8" s="39"/>
    </row>
    <row r="9" spans="1:21" s="47" customFormat="1" ht="10.199999999999999">
      <c r="A9" s="251"/>
      <c r="B9" s="246"/>
      <c r="C9" s="246"/>
      <c r="D9" s="246"/>
      <c r="E9" s="246"/>
      <c r="F9" s="252"/>
      <c r="G9" s="31"/>
      <c r="H9" s="31"/>
      <c r="I9" s="31"/>
      <c r="J9" s="31"/>
      <c r="K9" s="31"/>
      <c r="L9" s="31"/>
      <c r="M9" s="31"/>
      <c r="N9" s="31"/>
      <c r="O9" s="31"/>
      <c r="P9" s="31"/>
      <c r="Q9" s="129"/>
      <c r="R9" s="129"/>
      <c r="S9" s="129"/>
      <c r="T9" s="129"/>
      <c r="U9" s="129"/>
    </row>
    <row r="10" spans="1:21" ht="18" customHeight="1">
      <c r="A10" s="254" t="s">
        <v>400</v>
      </c>
      <c r="B10" s="255"/>
      <c r="C10" s="255"/>
      <c r="D10" s="255"/>
      <c r="E10" s="255"/>
      <c r="F10" s="256"/>
      <c r="G10" s="31"/>
      <c r="H10" s="39"/>
      <c r="I10" s="39"/>
      <c r="J10" s="39"/>
      <c r="K10" s="39"/>
      <c r="L10" s="39"/>
      <c r="M10" s="39"/>
      <c r="N10" s="39"/>
      <c r="O10" s="39"/>
      <c r="P10" s="39"/>
    </row>
    <row r="11" spans="1:21" ht="18" customHeight="1">
      <c r="A11" s="254" t="s">
        <v>401</v>
      </c>
      <c r="B11" s="255"/>
      <c r="C11" s="255"/>
      <c r="D11" s="255"/>
      <c r="E11" s="255"/>
      <c r="F11" s="256"/>
      <c r="G11" s="31"/>
      <c r="H11" s="39"/>
      <c r="I11" s="39"/>
      <c r="J11" s="39"/>
      <c r="K11" s="39"/>
      <c r="L11" s="39"/>
      <c r="M11" s="39"/>
      <c r="N11" s="39"/>
      <c r="O11" s="39"/>
      <c r="P11" s="39"/>
    </row>
    <row r="12" spans="1:21" ht="18" customHeight="1">
      <c r="A12" s="254" t="s">
        <v>402</v>
      </c>
      <c r="B12" s="255"/>
      <c r="C12" s="255"/>
      <c r="D12" s="255"/>
      <c r="E12" s="255"/>
      <c r="F12" s="256"/>
      <c r="G12" s="31"/>
      <c r="H12" s="39"/>
      <c r="I12" s="39"/>
      <c r="J12" s="39"/>
      <c r="K12" s="39"/>
      <c r="L12" s="39"/>
      <c r="M12" s="39"/>
      <c r="N12" s="39"/>
      <c r="O12" s="39"/>
      <c r="P12" s="39"/>
    </row>
    <row r="13" spans="1:21" ht="18" customHeight="1">
      <c r="A13" s="254" t="s">
        <v>403</v>
      </c>
      <c r="B13" s="255"/>
      <c r="C13" s="255"/>
      <c r="D13" s="255"/>
      <c r="E13" s="255"/>
      <c r="F13" s="256"/>
      <c r="G13" s="31"/>
      <c r="H13" s="39"/>
      <c r="I13" s="39"/>
      <c r="J13" s="39"/>
      <c r="K13" s="39"/>
      <c r="L13" s="39"/>
      <c r="M13" s="39"/>
      <c r="N13" s="39"/>
      <c r="O13" s="39"/>
      <c r="P13" s="39"/>
    </row>
    <row r="14" spans="1:21" ht="18" customHeight="1">
      <c r="A14" s="254" t="s">
        <v>393</v>
      </c>
      <c r="B14" s="255"/>
      <c r="C14" s="255"/>
      <c r="D14" s="255"/>
      <c r="E14" s="255"/>
      <c r="F14" s="256"/>
      <c r="G14" s="31"/>
      <c r="H14" s="39"/>
      <c r="I14" s="39"/>
      <c r="J14" s="39"/>
      <c r="K14" s="39"/>
      <c r="L14" s="39"/>
      <c r="M14" s="39"/>
      <c r="N14" s="39"/>
      <c r="O14" s="39"/>
      <c r="P14" s="39"/>
    </row>
    <row r="15" spans="1:21" ht="18" customHeight="1">
      <c r="A15" s="254" t="s">
        <v>394</v>
      </c>
      <c r="B15" s="255"/>
      <c r="C15" s="255"/>
      <c r="D15" s="255"/>
      <c r="E15" s="255"/>
      <c r="F15" s="256"/>
      <c r="G15" s="31"/>
      <c r="H15" s="39"/>
      <c r="I15" s="39"/>
      <c r="J15" s="39"/>
      <c r="K15" s="39"/>
      <c r="L15" s="39"/>
      <c r="M15" s="39"/>
      <c r="N15" s="39"/>
      <c r="O15" s="39"/>
      <c r="P15" s="39"/>
    </row>
    <row r="16" spans="1:21" ht="18" customHeight="1">
      <c r="A16" s="254" t="s">
        <v>395</v>
      </c>
      <c r="B16" s="255"/>
      <c r="C16" s="255"/>
      <c r="D16" s="255"/>
      <c r="E16" s="255"/>
      <c r="F16" s="256"/>
      <c r="G16" s="31"/>
      <c r="H16" s="39"/>
      <c r="I16" s="39"/>
      <c r="J16" s="39"/>
      <c r="K16" s="39"/>
      <c r="L16" s="39"/>
      <c r="M16" s="39"/>
      <c r="N16" s="39"/>
      <c r="O16" s="39"/>
      <c r="P16" s="39"/>
    </row>
    <row r="17" spans="1:21" ht="18" customHeight="1">
      <c r="A17" s="254" t="s">
        <v>396</v>
      </c>
      <c r="B17" s="255"/>
      <c r="C17" s="255"/>
      <c r="D17" s="255"/>
      <c r="E17" s="255"/>
      <c r="F17" s="256"/>
      <c r="G17" s="31"/>
      <c r="H17" s="39"/>
      <c r="I17" s="39"/>
      <c r="J17" s="39"/>
      <c r="K17" s="39"/>
      <c r="L17" s="39"/>
      <c r="M17" s="39"/>
      <c r="N17" s="39"/>
      <c r="O17" s="39"/>
      <c r="P17" s="39"/>
    </row>
    <row r="18" spans="1:21" s="47" customFormat="1" ht="10.199999999999999">
      <c r="A18" s="251"/>
      <c r="B18" s="246"/>
      <c r="C18" s="246"/>
      <c r="D18" s="246"/>
      <c r="E18" s="246"/>
      <c r="F18" s="252"/>
      <c r="G18" s="31"/>
      <c r="H18" s="31"/>
      <c r="I18" s="31"/>
      <c r="J18" s="31"/>
      <c r="K18" s="31"/>
      <c r="L18" s="31"/>
      <c r="M18" s="31"/>
      <c r="N18" s="31"/>
      <c r="O18" s="31"/>
      <c r="P18" s="31"/>
      <c r="Q18" s="129"/>
      <c r="R18" s="129"/>
      <c r="S18" s="129"/>
      <c r="T18" s="129"/>
      <c r="U18" s="129"/>
    </row>
    <row r="19" spans="1:21" ht="18" customHeight="1">
      <c r="A19" s="221" t="s">
        <v>321</v>
      </c>
      <c r="B19" s="509" t="str">
        <f>IF(DAPEC!F9="Oui",DAPEC!B11,"")</f>
        <v/>
      </c>
      <c r="C19" s="509"/>
      <c r="D19" s="509"/>
      <c r="E19" s="509"/>
      <c r="F19" s="577"/>
      <c r="G19" s="31"/>
      <c r="H19" s="40"/>
      <c r="I19" s="41"/>
      <c r="J19" s="41"/>
      <c r="K19" s="41"/>
      <c r="L19" s="41"/>
      <c r="M19" s="41"/>
      <c r="N19" s="41"/>
      <c r="O19" s="41"/>
      <c r="P19" s="41"/>
    </row>
    <row r="20" spans="1:21" ht="18" customHeight="1">
      <c r="A20" s="221" t="s">
        <v>142</v>
      </c>
      <c r="B20" s="509" t="str">
        <f>IF(DAPEC!F9="OUI",DAPEC!B13,"")</f>
        <v/>
      </c>
      <c r="C20" s="509"/>
      <c r="D20" s="509"/>
      <c r="E20" s="509"/>
      <c r="F20" s="577"/>
      <c r="G20" s="32"/>
      <c r="H20" s="32"/>
      <c r="I20" s="32"/>
      <c r="J20" s="32"/>
      <c r="K20" s="32"/>
      <c r="L20" s="32"/>
      <c r="M20" s="32"/>
      <c r="N20" s="32"/>
      <c r="O20" s="32"/>
      <c r="P20" s="32"/>
    </row>
    <row r="21" spans="1:21" s="47" customFormat="1" ht="10.199999999999999">
      <c r="A21" s="251"/>
      <c r="D21" s="247"/>
      <c r="E21" s="247"/>
      <c r="F21" s="253"/>
      <c r="G21" s="248"/>
      <c r="H21" s="248"/>
      <c r="I21" s="248"/>
      <c r="J21" s="248"/>
      <c r="K21" s="248"/>
      <c r="L21" s="248"/>
      <c r="M21" s="248"/>
      <c r="N21" s="248"/>
      <c r="O21" s="248"/>
      <c r="P21" s="248"/>
      <c r="Q21" s="129"/>
      <c r="R21" s="129"/>
      <c r="S21" s="129"/>
      <c r="T21" s="129"/>
      <c r="U21" s="129"/>
    </row>
    <row r="22" spans="1:21" ht="18" customHeight="1">
      <c r="A22" s="211" t="s">
        <v>523</v>
      </c>
      <c r="B22" s="42"/>
      <c r="C22" s="42"/>
      <c r="D22" s="42"/>
      <c r="E22" s="38"/>
      <c r="F22" s="212">
        <f>SUM(D24+D25+D26+E26)</f>
        <v>0</v>
      </c>
      <c r="G22" s="33"/>
      <c r="H22" s="33"/>
      <c r="I22" s="33"/>
      <c r="J22" s="33"/>
      <c r="K22" s="33"/>
      <c r="L22" s="33"/>
      <c r="M22" s="33"/>
      <c r="N22" s="33"/>
      <c r="O22" s="33"/>
      <c r="P22" s="33"/>
    </row>
    <row r="23" spans="1:21" ht="18" customHeight="1">
      <c r="A23" s="211"/>
      <c r="B23" s="42"/>
      <c r="C23" s="42"/>
      <c r="D23" s="35" t="s">
        <v>405</v>
      </c>
      <c r="E23" s="35" t="s">
        <v>404</v>
      </c>
      <c r="F23" s="212"/>
      <c r="G23" s="33"/>
      <c r="H23" s="33"/>
      <c r="I23" s="33"/>
      <c r="J23" s="33"/>
      <c r="K23" s="33"/>
      <c r="L23" s="33"/>
      <c r="M23" s="33"/>
      <c r="N23" s="33"/>
      <c r="O23" s="33"/>
      <c r="P23" s="33"/>
    </row>
    <row r="24" spans="1:21" ht="18" customHeight="1">
      <c r="A24" s="554" t="s">
        <v>406</v>
      </c>
      <c r="B24" s="555"/>
      <c r="C24" s="555"/>
      <c r="D24" s="222">
        <v>0</v>
      </c>
      <c r="E24" s="38">
        <v>150</v>
      </c>
      <c r="F24" s="213"/>
      <c r="G24" s="33"/>
      <c r="H24" s="33"/>
      <c r="I24" s="33"/>
      <c r="J24" s="33"/>
      <c r="K24" s="33"/>
      <c r="L24" s="33"/>
      <c r="M24" s="33"/>
      <c r="N24" s="33"/>
      <c r="O24" s="33"/>
      <c r="P24" s="33"/>
    </row>
    <row r="25" spans="1:21" ht="18" customHeight="1">
      <c r="A25" s="554" t="s">
        <v>407</v>
      </c>
      <c r="B25" s="555"/>
      <c r="C25" s="555"/>
      <c r="D25" s="222">
        <v>0</v>
      </c>
      <c r="E25" s="38">
        <v>400</v>
      </c>
      <c r="F25" s="213"/>
      <c r="G25" s="34"/>
      <c r="H25" s="34"/>
      <c r="I25" s="34"/>
      <c r="J25" s="34"/>
      <c r="K25" s="34"/>
      <c r="L25" s="34"/>
      <c r="M25" s="34"/>
      <c r="N25" s="34"/>
      <c r="O25" s="34"/>
      <c r="P25" s="34"/>
    </row>
    <row r="26" spans="1:21" ht="18" customHeight="1">
      <c r="A26" s="554" t="s">
        <v>408</v>
      </c>
      <c r="B26" s="555"/>
      <c r="C26" s="555"/>
      <c r="D26" s="222">
        <v>0</v>
      </c>
      <c r="E26" s="38">
        <f>IF(D26=0,0,150)</f>
        <v>0</v>
      </c>
      <c r="F26" s="214"/>
      <c r="G26" s="35"/>
      <c r="H26" s="35"/>
      <c r="I26" s="35"/>
      <c r="J26" s="35"/>
      <c r="K26" s="35"/>
      <c r="L26" s="35"/>
      <c r="M26" s="35"/>
      <c r="N26" s="35"/>
      <c r="O26" s="35"/>
      <c r="P26" s="35"/>
    </row>
    <row r="27" spans="1:21" ht="18" customHeight="1">
      <c r="A27" s="563"/>
      <c r="B27" s="564"/>
      <c r="C27" s="564"/>
      <c r="D27" s="564"/>
      <c r="E27" s="564"/>
      <c r="F27" s="565"/>
      <c r="G27" s="35"/>
      <c r="H27" s="35"/>
      <c r="I27" s="35"/>
      <c r="J27" s="35"/>
      <c r="K27" s="35"/>
      <c r="L27" s="35"/>
      <c r="M27" s="35"/>
      <c r="N27" s="35"/>
      <c r="O27" s="35"/>
      <c r="P27" s="35"/>
    </row>
    <row r="28" spans="1:21" ht="18" customHeight="1">
      <c r="A28" s="559" t="s">
        <v>322</v>
      </c>
      <c r="B28" s="560"/>
      <c r="C28" s="560"/>
      <c r="D28" s="560"/>
      <c r="E28" s="560"/>
      <c r="F28" s="561"/>
      <c r="G28" s="37"/>
      <c r="H28" s="43"/>
      <c r="I28" s="43"/>
      <c r="J28" s="43"/>
      <c r="K28" s="43"/>
      <c r="L28" s="43"/>
      <c r="M28" s="43"/>
      <c r="N28" s="43"/>
      <c r="O28" s="43"/>
      <c r="P28" s="43"/>
    </row>
    <row r="29" spans="1:21" ht="18" customHeight="1">
      <c r="A29" s="215"/>
      <c r="B29" s="38"/>
      <c r="C29" s="38"/>
      <c r="D29" s="38"/>
      <c r="E29" s="38"/>
      <c r="F29" s="210"/>
      <c r="G29" s="37"/>
      <c r="H29" s="44"/>
      <c r="I29" s="44"/>
      <c r="J29" s="44"/>
      <c r="K29" s="44"/>
      <c r="L29" s="44"/>
      <c r="M29" s="44"/>
      <c r="N29" s="44"/>
      <c r="O29" s="44"/>
      <c r="P29" s="44"/>
    </row>
    <row r="30" spans="1:21" s="7" customFormat="1" ht="36" customHeight="1">
      <c r="A30" s="556" t="str">
        <f>IF(DAPEC!F9="Oui",DAPEC!A17,"")</f>
        <v/>
      </c>
      <c r="B30" s="557"/>
      <c r="C30" s="557"/>
      <c r="D30" s="557"/>
      <c r="E30" s="557"/>
      <c r="F30" s="558"/>
    </row>
    <row r="31" spans="1:21" s="7" customFormat="1" ht="18" customHeight="1">
      <c r="A31" s="216"/>
      <c r="F31" s="217"/>
    </row>
    <row r="32" spans="1:21" s="7" customFormat="1" ht="18" customHeight="1">
      <c r="A32" s="249" t="s">
        <v>151</v>
      </c>
      <c r="B32" s="102"/>
      <c r="C32" s="102" t="s">
        <v>227</v>
      </c>
      <c r="D32" s="102" t="s">
        <v>26</v>
      </c>
      <c r="E32" s="102" t="s">
        <v>25</v>
      </c>
      <c r="F32" s="102" t="s">
        <v>24</v>
      </c>
    </row>
    <row r="33" spans="1:6" s="7" customFormat="1" ht="18" customHeight="1">
      <c r="A33" s="250" t="s">
        <v>28</v>
      </c>
      <c r="B33" s="250"/>
      <c r="C33" s="306" t="str">
        <f>IF(DAPEC!F9="Oui",DAPEC!C28,"")</f>
        <v/>
      </c>
      <c r="D33" s="307" t="str">
        <f>IF(DAPEC!F9="Oui",DAPEC!D28,"")</f>
        <v/>
      </c>
      <c r="E33" s="306" t="str">
        <f>IF(DAPEC!F9="oui",DAPEC!E28,"")</f>
        <v/>
      </c>
      <c r="F33" s="308" t="str">
        <f>IF(DAPEC!F9="Oui",DAPEC!F28,"")</f>
        <v/>
      </c>
    </row>
    <row r="34" spans="1:6" s="7" customFormat="1" ht="18" customHeight="1">
      <c r="A34" s="216"/>
      <c r="F34" s="217"/>
    </row>
    <row r="35" spans="1:6" s="7" customFormat="1" ht="18" customHeight="1">
      <c r="A35" s="218" t="s">
        <v>154</v>
      </c>
      <c r="B35" s="566" t="str">
        <f>IF(DAPEC!B32="","",DAPEC!B32)</f>
        <v/>
      </c>
      <c r="C35" s="566"/>
      <c r="D35" s="562" t="str">
        <f>IF(B19="","",B19)</f>
        <v/>
      </c>
      <c r="E35" s="562"/>
      <c r="F35" s="567"/>
    </row>
    <row r="36" spans="1:6" s="7" customFormat="1" ht="18" customHeight="1">
      <c r="A36" s="218" t="s">
        <v>345</v>
      </c>
      <c r="B36" s="202">
        <f ca="1">IF(DAPEC!B33="","",DAPEC!B33)</f>
        <v>45741</v>
      </c>
      <c r="D36" s="568" t="s">
        <v>388</v>
      </c>
      <c r="E36" s="569"/>
      <c r="F36" s="570"/>
    </row>
    <row r="37" spans="1:6" s="7" customFormat="1" ht="18" customHeight="1">
      <c r="A37" s="216"/>
      <c r="D37" s="571"/>
      <c r="E37" s="572"/>
      <c r="F37" s="573"/>
    </row>
    <row r="38" spans="1:6" s="7" customFormat="1" ht="18" customHeight="1">
      <c r="A38" s="216"/>
      <c r="D38" s="571"/>
      <c r="E38" s="572"/>
      <c r="F38" s="573"/>
    </row>
    <row r="39" spans="1:6" s="7" customFormat="1" ht="18" customHeight="1">
      <c r="A39" s="219"/>
      <c r="B39" s="220"/>
      <c r="C39" s="220"/>
      <c r="D39" s="574"/>
      <c r="E39" s="575"/>
      <c r="F39" s="576"/>
    </row>
    <row r="40" spans="1:6" s="7" customFormat="1" ht="18" customHeight="1"/>
    <row r="41" spans="1:6" s="7" customFormat="1" ht="18" customHeight="1"/>
    <row r="42" spans="1:6" s="7" customFormat="1" ht="18" customHeight="1">
      <c r="D42" s="562"/>
      <c r="E42" s="562"/>
      <c r="F42" s="562"/>
    </row>
    <row r="43" spans="1:6" s="7" customFormat="1" ht="15" customHeight="1">
      <c r="A43" s="203"/>
    </row>
    <row r="44" spans="1:6" s="7" customFormat="1" ht="15" customHeight="1"/>
    <row r="45" spans="1:6" s="7" customFormat="1" ht="15" customHeight="1"/>
    <row r="46" spans="1:6" s="7" customFormat="1" ht="15" customHeight="1"/>
    <row r="47" spans="1:6" s="7" customFormat="1" ht="15" customHeight="1"/>
    <row r="48" spans="1:6" s="7" customFormat="1" ht="15" customHeight="1"/>
    <row r="49" s="7" customFormat="1" ht="15" customHeight="1"/>
    <row r="50" s="7" customFormat="1" ht="15" customHeight="1"/>
    <row r="51" s="7" customFormat="1" ht="15" customHeight="1"/>
    <row r="52" s="7" customFormat="1" ht="15" customHeight="1"/>
    <row r="53" s="7" customFormat="1" ht="15" customHeight="1"/>
    <row r="54" s="7" customFormat="1" ht="15" customHeight="1"/>
    <row r="55" s="7" customFormat="1" ht="15" customHeight="1"/>
    <row r="56" s="7" customFormat="1" ht="15" customHeight="1"/>
    <row r="57" s="7" customFormat="1" ht="15" customHeight="1"/>
    <row r="58" s="7" customFormat="1" ht="15" customHeight="1"/>
    <row r="59" s="7" customFormat="1" ht="15" customHeight="1"/>
    <row r="60" s="7" customFormat="1" ht="15" customHeight="1"/>
    <row r="61" s="7" customFormat="1" ht="15" customHeight="1"/>
    <row r="62" s="7" customFormat="1" ht="15" customHeight="1"/>
    <row r="63" s="7" customFormat="1" ht="15" customHeight="1"/>
    <row r="64" s="7" customFormat="1" ht="15" customHeight="1"/>
    <row r="65" s="7" customFormat="1" ht="15" customHeight="1"/>
    <row r="66" s="7" customFormat="1" ht="15" customHeight="1"/>
    <row r="67" s="7" customFormat="1" ht="15" customHeight="1"/>
    <row r="68" s="7" customFormat="1" ht="15" customHeight="1"/>
    <row r="69" s="7" customFormat="1" ht="15" customHeight="1"/>
    <row r="70" s="7" customFormat="1" ht="15" customHeight="1"/>
    <row r="71" s="7" customFormat="1" ht="15" customHeight="1"/>
    <row r="72" s="7" customFormat="1" ht="15" customHeight="1"/>
    <row r="73" s="7" customFormat="1" ht="15" customHeight="1"/>
    <row r="74" s="7" customFormat="1" ht="15" customHeight="1"/>
    <row r="75" s="7" customFormat="1" ht="15" customHeight="1"/>
    <row r="76" s="7" customFormat="1" ht="15" customHeight="1"/>
    <row r="77" s="7" customFormat="1" ht="15" customHeight="1"/>
    <row r="78" s="7" customFormat="1" ht="15" customHeight="1"/>
    <row r="79" s="7" customFormat="1" ht="15" customHeight="1"/>
    <row r="80" s="7" customFormat="1" ht="15" customHeight="1"/>
    <row r="81" s="7" customFormat="1" ht="15" customHeight="1"/>
    <row r="82" s="7" customFormat="1" ht="15" customHeight="1"/>
    <row r="83" s="7" customFormat="1" ht="15" customHeight="1"/>
    <row r="84" s="7" customFormat="1" ht="15" customHeight="1"/>
    <row r="85" s="7" customFormat="1" ht="15" customHeight="1"/>
    <row r="86" s="7" customFormat="1" ht="15" customHeight="1"/>
    <row r="87" s="7" customFormat="1" ht="15" customHeight="1"/>
    <row r="88" s="7" customFormat="1" ht="15" customHeight="1"/>
    <row r="89" s="7" customFormat="1" ht="15" customHeight="1"/>
    <row r="90" s="7" customFormat="1" ht="15" customHeigh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sheetData>
  <sheetProtection algorithmName="SHA-512" hashValue="A2EYhg7iPJ8Ck70+qHJpri2L3uWEu13K6pYwqUyRwZ3EjX/ffLDP3a3+hcu6iL1fNXqgTXlG794CK3Btb7d8sA==" saltValue="2qo1RS2yjHfwx9lxqqAheQ==" spinCount="100000" sheet="1" objects="1" scenarios="1"/>
  <dataConsolidate link="1"/>
  <mergeCells count="13">
    <mergeCell ref="B20:F20"/>
    <mergeCell ref="A2:F2"/>
    <mergeCell ref="B19:F19"/>
    <mergeCell ref="A24:C24"/>
    <mergeCell ref="A25:C25"/>
    <mergeCell ref="A26:C26"/>
    <mergeCell ref="A30:F30"/>
    <mergeCell ref="A28:F28"/>
    <mergeCell ref="D42:F42"/>
    <mergeCell ref="A27:F27"/>
    <mergeCell ref="B35:C35"/>
    <mergeCell ref="D35:F35"/>
    <mergeCell ref="D36:F39"/>
  </mergeCells>
  <dataValidations count="3">
    <dataValidation type="list" allowBlank="1" showInputMessage="1" showErrorMessage="1" sqref="B29:F29" xr:uid="{00000000-0002-0000-0200-000000000000}">
      <formula1>#REF!</formula1>
    </dataValidation>
    <dataValidation type="list" allowBlank="1" showInputMessage="1" showErrorMessage="1" sqref="F24" xr:uid="{00000000-0002-0000-0200-000001000000}">
      <formula1>$C$20:$C$21</formula1>
    </dataValidation>
    <dataValidation type="list" allowBlank="1" showInputMessage="1" showErrorMessage="1" sqref="F1" xr:uid="{00000000-0002-0000-0200-000002000000}">
      <formula1>#REF!</formula1>
    </dataValidation>
  </dataValidations>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A57"/>
  <sheetViews>
    <sheetView zoomScale="70" zoomScaleNormal="70" workbookViewId="0">
      <selection activeCell="G14" sqref="G14"/>
    </sheetView>
  </sheetViews>
  <sheetFormatPr baseColWidth="10" defaultColWidth="8.77734375" defaultRowHeight="17.399999999999999"/>
  <cols>
    <col min="1" max="1" width="13.77734375" style="91" customWidth="1"/>
    <col min="2" max="2" width="4.77734375" style="91" customWidth="1"/>
    <col min="3" max="3" width="13.77734375" style="91" customWidth="1"/>
    <col min="4" max="4" width="4.77734375" style="91" customWidth="1"/>
    <col min="5" max="5" width="13.77734375" style="91" customWidth="1"/>
    <col min="6" max="6" width="4.77734375" style="91" customWidth="1"/>
    <col min="7" max="7" width="13.77734375" style="91" customWidth="1"/>
    <col min="8" max="8" width="4.77734375" style="91" customWidth="1"/>
    <col min="9" max="9" width="13.77734375" style="91" customWidth="1"/>
    <col min="10" max="10" width="4.77734375" style="91" customWidth="1"/>
    <col min="11" max="11" width="13.77734375" style="91" customWidth="1"/>
    <col min="12" max="13" width="9.21875" style="91" customWidth="1"/>
    <col min="14" max="17" width="6.77734375" style="91" customWidth="1"/>
    <col min="18" max="18" width="6.77734375" style="398" customWidth="1"/>
    <col min="19" max="19" width="5.5546875" style="91" bestFit="1" customWidth="1"/>
    <col min="20" max="21" width="6.21875" style="91" bestFit="1" customWidth="1"/>
    <col min="22" max="22" width="5.5546875" style="91" bestFit="1" customWidth="1"/>
    <col min="23" max="23" width="6.21875" style="91" bestFit="1" customWidth="1"/>
    <col min="24" max="25" width="11.77734375" style="91" customWidth="1"/>
    <col min="26" max="27" width="8.77734375" style="340"/>
    <col min="28" max="16384" width="8.77734375" style="91"/>
  </cols>
  <sheetData>
    <row r="1" spans="1:27" ht="103.2" customHeight="1">
      <c r="A1" s="582"/>
      <c r="B1" s="582"/>
      <c r="C1" s="582"/>
      <c r="D1" s="582"/>
      <c r="E1" s="582"/>
      <c r="F1" s="582"/>
      <c r="G1" s="582"/>
      <c r="H1" s="582"/>
      <c r="I1" s="582"/>
      <c r="J1" s="582"/>
      <c r="K1" s="582"/>
      <c r="L1" s="382"/>
    </row>
    <row r="2" spans="1:27" s="223" customFormat="1" ht="36" customHeight="1">
      <c r="A2" s="455" t="str">
        <f>IF(DAPEC!A3="SELECTIONNER VOTRE ETABLISSEMENT DANS LA LISTE","",IF(AND(DAPEC!D14="Oui, forfait mensuel",DAPEC!E15="Choisir"),"",IF(AND(DAPEC!D14="Oui, forfait mensuel",DAPEC!E15="En continu"),"Conformément aux renseignements de l'onglet DAPEC, l'établissement :",IF(DAPEC!D14="Non","Vous ne demandez pas de frais de déplacement pour ce dossier",IF(DAPEC!D14="Oui, frais réels","Vous avez choisi les frais réels, vous devez utiliser les onglets suivants",IF(DAPEC!D14="Choisir :","","Le calcul sur la base d'un forfait n'est pas possible pour les formations en discontinu"))))))</f>
        <v/>
      </c>
      <c r="B2" s="455"/>
      <c r="C2" s="455"/>
      <c r="D2" s="455"/>
      <c r="E2" s="455"/>
      <c r="F2" s="455"/>
      <c r="G2" s="455"/>
      <c r="H2" s="455"/>
      <c r="I2" s="455"/>
      <c r="J2" s="455"/>
      <c r="K2" s="455"/>
      <c r="L2" s="455"/>
      <c r="M2" s="455"/>
      <c r="N2" s="455"/>
      <c r="O2" s="455"/>
      <c r="P2" s="455"/>
      <c r="Q2" s="455"/>
      <c r="R2" s="455"/>
      <c r="Z2" s="353"/>
      <c r="AA2" s="353"/>
    </row>
    <row r="3" spans="1:27" s="223" customFormat="1" ht="36" customHeight="1">
      <c r="A3" s="583" t="str">
        <f>IF(A2="Conformément aux renseignements de l'onglet DAPEC, l'établissement :",DAPEC!A3,"")</f>
        <v/>
      </c>
      <c r="B3" s="583"/>
      <c r="C3" s="583"/>
      <c r="D3" s="583"/>
      <c r="E3" s="583"/>
      <c r="F3" s="583"/>
      <c r="G3" s="583"/>
      <c r="H3" s="583"/>
      <c r="I3" s="583"/>
      <c r="J3" s="583"/>
      <c r="K3" s="583"/>
      <c r="L3" s="583"/>
      <c r="M3" s="583"/>
      <c r="N3" s="583"/>
      <c r="O3" s="583"/>
      <c r="P3" s="583"/>
      <c r="Q3" s="583"/>
      <c r="R3" s="583"/>
      <c r="X3" s="396"/>
      <c r="Z3" s="353"/>
      <c r="AA3" s="353"/>
    </row>
    <row r="4" spans="1:27" s="223" customFormat="1" ht="36" customHeight="1">
      <c r="A4" s="223" t="str">
        <f>IF(A2="Conformément aux renseignements de l'onglet DAPEC, l'établissement :","demande la prise en charge pour le compte de l'agent :","")</f>
        <v/>
      </c>
      <c r="B4" s="38"/>
      <c r="C4" s="38"/>
      <c r="D4" s="38"/>
      <c r="E4" s="38"/>
      <c r="F4" s="38"/>
      <c r="G4" s="38"/>
      <c r="H4" s="38"/>
      <c r="I4" s="38"/>
      <c r="J4" s="38"/>
      <c r="K4" s="509" t="str">
        <f>IF(A2="Conformément aux renseignements de l'onglet DAPEC, l'établissement :",DAPEC!B11,"")</f>
        <v/>
      </c>
      <c r="L4" s="509"/>
      <c r="M4" s="509"/>
      <c r="N4" s="509"/>
      <c r="O4" s="509"/>
      <c r="P4" s="509"/>
      <c r="Q4" s="509"/>
      <c r="R4" s="509"/>
      <c r="Z4" s="353"/>
      <c r="AA4" s="353"/>
    </row>
    <row r="5" spans="1:27" s="317" customFormat="1" ht="36" customHeight="1">
      <c r="A5" s="469" t="str">
        <f>IF(A2="Conformément aux renseignements de l'onglet DAPEC, l'établissement :","afin de suivre la formation :","")</f>
        <v/>
      </c>
      <c r="B5" s="469"/>
      <c r="C5" s="469"/>
      <c r="D5" s="469"/>
      <c r="E5" s="469"/>
      <c r="F5" s="583" t="str">
        <f>IF(A2="Conformément aux renseignements de l'onglet DAPEC, l'établissement :",DAPEC!A17,"")</f>
        <v/>
      </c>
      <c r="G5" s="583"/>
      <c r="H5" s="583"/>
      <c r="I5" s="583"/>
      <c r="J5" s="583"/>
      <c r="K5" s="583"/>
      <c r="L5" s="583"/>
      <c r="M5" s="583"/>
      <c r="N5" s="583"/>
      <c r="O5" s="583"/>
      <c r="P5" s="583"/>
      <c r="Q5" s="583"/>
      <c r="R5" s="583"/>
      <c r="S5" s="223"/>
      <c r="T5" s="223"/>
      <c r="U5" s="223"/>
      <c r="V5" s="223"/>
      <c r="W5" s="223"/>
      <c r="Z5" s="386"/>
      <c r="AA5" s="386"/>
    </row>
    <row r="6" spans="1:27" s="223" customFormat="1" ht="36" customHeight="1">
      <c r="A6" s="317" t="str">
        <f>IF(A2="Conformément aux renseignements de l'onglet DAPEC, l'établissement :","d'une durée de :","")</f>
        <v/>
      </c>
      <c r="B6" s="317"/>
      <c r="C6" s="393"/>
      <c r="D6" s="584" t="str">
        <f>IF(A2="Conformément aux renseignements de l'onglet DAPEC, l'établissement :",VLOOKUP(F5,A16:L46,12),"")</f>
        <v/>
      </c>
      <c r="E6" s="584"/>
      <c r="F6" s="585" t="str">
        <f>IF(A2="Conformément aux renseignements de l'onglet DAPEC, l'établissement :","heures. Ce décompte correspond à","")</f>
        <v/>
      </c>
      <c r="G6" s="585"/>
      <c r="H6" s="585"/>
      <c r="I6" s="585"/>
      <c r="J6" s="585"/>
      <c r="K6" s="585"/>
      <c r="L6" s="38" t="str">
        <f>IF(A2="Conformément aux renseignements de l'onglet DAPEC, l'établissement :",VLOOKUP(F5,A16:R46,18),"")</f>
        <v/>
      </c>
      <c r="M6" s="223" t="str">
        <f>IF(A2="Conformément aux renseignements de l'onglet DAPEC, l'établissement :","mois de prise en charge","")</f>
        <v/>
      </c>
      <c r="R6" s="399"/>
      <c r="S6" s="581"/>
      <c r="T6" s="581"/>
      <c r="U6" s="581"/>
      <c r="V6" s="581"/>
      <c r="W6" s="581"/>
      <c r="Z6" s="353"/>
      <c r="AA6" s="353"/>
    </row>
    <row r="7" spans="1:27" s="223" customFormat="1" ht="36" customHeight="1">
      <c r="A7" s="579" t="str">
        <f>IF(A2="Conformément aux renseignements de l'onglet DAPEC, l'établissement :","détail de la nature des frais demandés :","")</f>
        <v/>
      </c>
      <c r="B7" s="579"/>
      <c r="C7" s="579"/>
      <c r="D7" s="579"/>
      <c r="E7" s="579"/>
      <c r="F7" s="579"/>
      <c r="G7" s="579"/>
      <c r="H7" s="387"/>
      <c r="I7" s="44"/>
      <c r="J7" s="455"/>
      <c r="K7" s="455"/>
      <c r="L7" s="394"/>
      <c r="R7" s="399"/>
      <c r="Z7" s="353"/>
      <c r="AA7" s="353"/>
    </row>
    <row r="8" spans="1:27" s="223" customFormat="1" ht="36" customHeight="1">
      <c r="A8" s="579" t="str">
        <f>IF(A2="Conformément aux renseignements de l'onglet DAPEC, l'établissement :","Transport peuvent être remboursés à raison d’un voyage aller-retour par mois.","")</f>
        <v/>
      </c>
      <c r="B8" s="579"/>
      <c r="C8" s="579"/>
      <c r="D8" s="579"/>
      <c r="E8" s="579"/>
      <c r="F8" s="579"/>
      <c r="G8" s="579"/>
      <c r="H8" s="579"/>
      <c r="I8" s="579"/>
      <c r="J8" s="579"/>
      <c r="K8" s="579"/>
      <c r="L8" s="579"/>
      <c r="M8" s="579"/>
      <c r="N8" s="579"/>
      <c r="O8" s="579"/>
      <c r="P8" s="586" t="s">
        <v>141</v>
      </c>
      <c r="Q8" s="586"/>
      <c r="R8" s="586"/>
      <c r="Z8" s="353"/>
      <c r="AA8" s="353"/>
    </row>
    <row r="9" spans="1:27" s="223" customFormat="1" ht="36" customHeight="1">
      <c r="A9" s="579" t="str">
        <f>IF(A2="Conformément aux renseignements de l'onglet DAPEC, l'établissement :","Hébergement, Certaines formations, peuvent justifier la location d’un logement.","")</f>
        <v/>
      </c>
      <c r="B9" s="579"/>
      <c r="C9" s="579"/>
      <c r="D9" s="579"/>
      <c r="E9" s="579"/>
      <c r="F9" s="579"/>
      <c r="G9" s="579"/>
      <c r="H9" s="579"/>
      <c r="I9" s="579"/>
      <c r="J9" s="579"/>
      <c r="K9" s="579"/>
      <c r="L9" s="579"/>
      <c r="M9" s="579"/>
      <c r="N9" s="579"/>
      <c r="O9" s="579"/>
      <c r="P9" s="586" t="s">
        <v>141</v>
      </c>
      <c r="Q9" s="586"/>
      <c r="R9" s="586"/>
      <c r="Z9" s="353"/>
      <c r="AA9" s="353"/>
    </row>
    <row r="10" spans="1:27" s="223" customFormat="1" ht="36" customHeight="1">
      <c r="A10" s="455" t="str">
        <f>IF(A2="Conformément aux renseignements de l'onglet DAPEC, l'établissement :","Frais de repas du midi et du soir sur une base forfaitaire de 320 €, sans justificatifs.","")</f>
        <v/>
      </c>
      <c r="B10" s="455"/>
      <c r="C10" s="455"/>
      <c r="D10" s="455"/>
      <c r="E10" s="455"/>
      <c r="F10" s="455"/>
      <c r="G10" s="455"/>
      <c r="H10" s="455"/>
      <c r="I10" s="455"/>
      <c r="J10" s="455"/>
      <c r="K10" s="455"/>
      <c r="L10" s="455"/>
      <c r="M10" s="455"/>
      <c r="N10" s="455"/>
      <c r="O10" s="455"/>
      <c r="P10" s="586" t="s">
        <v>141</v>
      </c>
      <c r="Q10" s="586"/>
      <c r="R10" s="586"/>
      <c r="S10" s="341"/>
      <c r="T10" s="383"/>
      <c r="U10" s="383"/>
      <c r="V10" s="341"/>
      <c r="W10" s="383"/>
      <c r="X10" s="384"/>
      <c r="Z10" s="353"/>
      <c r="AA10" s="353"/>
    </row>
    <row r="11" spans="1:27" s="223" customFormat="1" ht="36" customHeight="1">
      <c r="A11" s="581" t="str">
        <f>IF(A2="Conformément aux renseignements de l'onglet DAPEC, l'établissement :","Le forfait mensuel estimé par l'établissement s'élève à","")</f>
        <v/>
      </c>
      <c r="B11" s="581"/>
      <c r="C11" s="581"/>
      <c r="D11" s="581"/>
      <c r="E11" s="581"/>
      <c r="F11" s="581"/>
      <c r="G11" s="581"/>
      <c r="H11" s="581"/>
      <c r="I11" s="581"/>
      <c r="J11" s="581"/>
      <c r="K11" s="397">
        <v>0</v>
      </c>
      <c r="L11" s="581"/>
      <c r="M11" s="581"/>
      <c r="N11" s="581"/>
      <c r="O11" s="581"/>
      <c r="P11" s="581"/>
      <c r="Q11" s="581"/>
      <c r="R11" s="581"/>
      <c r="S11" s="341"/>
      <c r="T11" s="383"/>
      <c r="U11" s="383"/>
      <c r="V11" s="341"/>
      <c r="W11" s="383"/>
      <c r="X11" s="384"/>
      <c r="Z11" s="353"/>
      <c r="AA11" s="353"/>
    </row>
    <row r="12" spans="1:27" s="223" customFormat="1" ht="36" customHeight="1" thickBot="1">
      <c r="A12" s="579" t="str">
        <f>IF(L6="*","* Formation considérée en discontinu","")</f>
        <v/>
      </c>
      <c r="B12" s="579"/>
      <c r="C12" s="579"/>
      <c r="D12" s="579"/>
      <c r="E12" s="579"/>
      <c r="F12" s="579"/>
      <c r="G12" s="579"/>
      <c r="H12" s="579"/>
      <c r="I12" s="579"/>
      <c r="J12" s="579"/>
      <c r="K12" s="579"/>
      <c r="L12" s="579"/>
      <c r="M12" s="579"/>
      <c r="N12" s="579"/>
      <c r="O12" s="579"/>
      <c r="P12" s="579"/>
      <c r="Q12" s="579"/>
      <c r="R12" s="579"/>
      <c r="X12" s="384"/>
      <c r="Z12" s="353"/>
      <c r="AA12" s="353"/>
    </row>
    <row r="13" spans="1:27" s="223" customFormat="1" ht="36" customHeight="1" thickBot="1">
      <c r="A13" s="395" t="s">
        <v>390</v>
      </c>
      <c r="B13" s="589">
        <v>2025</v>
      </c>
      <c r="C13" s="589"/>
      <c r="D13" s="589">
        <v>2026</v>
      </c>
      <c r="E13" s="589"/>
      <c r="F13" s="589">
        <v>2027</v>
      </c>
      <c r="G13" s="589"/>
      <c r="H13" s="589">
        <v>2028</v>
      </c>
      <c r="I13" s="589"/>
      <c r="J13" s="587" t="s">
        <v>24</v>
      </c>
      <c r="K13" s="588"/>
      <c r="L13" s="580"/>
      <c r="M13" s="581"/>
      <c r="N13" s="581"/>
      <c r="O13" s="581"/>
      <c r="P13" s="581"/>
      <c r="Q13" s="581"/>
      <c r="R13" s="581"/>
      <c r="X13" s="384"/>
      <c r="Z13" s="353"/>
      <c r="AA13" s="353"/>
    </row>
    <row r="14" spans="1:27" s="223" customFormat="1" ht="36" customHeight="1" thickBot="1">
      <c r="A14" s="390" t="str">
        <f>IF(A2="","",IF(A2="Vous avez choisi les frais réels, vous devez utiliser les onglets suivants","",SUM(K11)))</f>
        <v/>
      </c>
      <c r="B14" s="388" t="str">
        <f>IF(A2="","",IF(A2="Vous ne demandez pas de frais de déplacement pour ce dossier","",IF(A2="Le calcul sur la base d'un forfait n'est pas possible pour les formations en discontinu","",IF(A2="Vous avez choisi les frais réels, vous devez utiliser les onglets suivants","",VLOOKUP(F5,A16:R46,14)))))</f>
        <v/>
      </c>
      <c r="C14" s="391">
        <f>IF(A2="",0,IF(A2="Vous ne demandez pas de frais de déplacement pour ce dossier",0,IF(A2="Le calcul sur la base d'un forfait n'est pas possible pour les formations en discontinu",0,IF(A2="Vous avez choisi les frais réels, vous devez utiliser les onglets suivants",0,A14*B14))))</f>
        <v>0</v>
      </c>
      <c r="D14" s="389" t="str">
        <f>IF(A2="","",IF(A2="Vous ne demandez pas de frais de déplacement pour ce dossier","",IF(A2="Le calcul sur la base d'un forfait n'est pas possible pour les formations en discontinu","",IF(A2="Vous avez choisi les frais réels, vous devez utiliser les onglets suivants","",VLOOKUP(F5,A16:R46,15)))))</f>
        <v/>
      </c>
      <c r="E14" s="391">
        <f>IF(A2="",0,IF(A2="Vous ne demandez pas de frais de déplacement pour ce dossier",0,IF(A2="Le calcul sur la base d'un forfait n'est pas possible pour les formations en discontinu",0,IF(A2="Vous avez choisi les frais réels, vous devez utiliser les onglets suivants",0,A14*D14))))</f>
        <v>0</v>
      </c>
      <c r="F14" s="389" t="str">
        <f>IF(A2="","",IF(A2="Vous ne demandez pas de frais de déplacement pour ce dossier","",IF(A2="Le calcul sur la base d'un forfait n'est pas possible pour les formations en discontinu","",IF(A2="Vous avez choisi les frais réels, vous devez utiliser les onglets suivants","",VLOOKUP(F5,A16:R46,16)))))</f>
        <v/>
      </c>
      <c r="G14" s="391">
        <f>IF(A2="",0,IF(A2="Vous ne demandez pas de frais de déplacement pour ce dossier",0,IF(A2="Le calcul sur la base d'un forfait n'est pas possible pour les formations en discontinu",0,IF(A2="Vous avez choisi les frais réels, vous devez utiliser les onglets suivants",0,A14*F14))))</f>
        <v>0</v>
      </c>
      <c r="H14" s="389" t="str">
        <f>IF(A2="","",IF(A2="Vous ne demandez pas de frais de déplacement pour ce dossier","",IF(A2="Le calcul sur la base d'un forfait n'est pas possible pour les formations en discontinu","",IF(A2="Vous avez choisi les frais réels, vous devez utiliser les onglets suivants","",VLOOKUP(F5,A16:R46,17)))))</f>
        <v/>
      </c>
      <c r="I14" s="391">
        <f>IF(A2="",0,IF(A2="Vous ne demandez pas de frais de déplacement pour ce dossier",0,IF(A2="Le calcul sur la base d'un forfait n'est pas possible pour les formations en discontinu",0,IF(A2="Vous avez choisi les frais réels, vous devez utiliser les onglets suivants",0,A14*H14))))</f>
        <v>0</v>
      </c>
      <c r="J14" s="389" t="str">
        <f>IF(A2="","",IF(A2="Vous ne demandez pas de frais de déplacement pour ce dossier","",IF(A2="Le calcul sur la base d'un forfait n'est pas possible pour les formations en discontinu","",IF(A2="Vous avez choisi les frais réels, vous devez utiliser les onglets suivants","",B14+D14+F14+H14))))</f>
        <v/>
      </c>
      <c r="K14" s="392">
        <f>IF(A2="",0,IF(A2="Le calcul sur la base d'un forfait n'est pas possible pour les formations en discontinu",0,IF(A2="Vous avez choisi les frais réels, vous devez utiliser les onglets suivants",0,C14+E14+G14+I14)))</f>
        <v>0</v>
      </c>
      <c r="L14" s="580"/>
      <c r="M14" s="581"/>
      <c r="N14" s="581"/>
      <c r="O14" s="581"/>
      <c r="P14" s="581"/>
      <c r="Q14" s="581"/>
      <c r="R14" s="581"/>
      <c r="S14" s="585"/>
      <c r="T14" s="585"/>
      <c r="U14" s="585"/>
      <c r="V14" s="585"/>
      <c r="Z14" s="353"/>
      <c r="AA14" s="353"/>
    </row>
    <row r="15" spans="1:27" s="401" customFormat="1" ht="57" hidden="1" customHeight="1">
      <c r="A15" s="578" t="s">
        <v>146</v>
      </c>
      <c r="B15" s="578"/>
      <c r="C15" s="578"/>
      <c r="D15" s="578"/>
      <c r="E15" s="578"/>
      <c r="F15" s="578"/>
      <c r="G15" s="578"/>
      <c r="H15" s="578"/>
      <c r="I15" s="578"/>
      <c r="J15" s="578"/>
      <c r="K15" s="400" t="str">
        <f>IF(DAPEC!C19&lt;45504,"1er semestre","2e semestre")</f>
        <v>1er semestre</v>
      </c>
      <c r="L15" s="401" t="s">
        <v>459</v>
      </c>
      <c r="M15" s="402" t="s">
        <v>460</v>
      </c>
      <c r="N15" s="402">
        <v>2024</v>
      </c>
      <c r="O15" s="402">
        <v>2025</v>
      </c>
      <c r="P15" s="402">
        <v>2026</v>
      </c>
      <c r="Q15" s="402">
        <v>2027</v>
      </c>
      <c r="R15" s="403" t="s">
        <v>162</v>
      </c>
      <c r="S15" s="402"/>
      <c r="T15" s="402"/>
      <c r="U15" s="402"/>
      <c r="V15" s="402"/>
      <c r="Z15" s="404"/>
      <c r="AA15" s="404"/>
    </row>
    <row r="16" spans="1:27" s="223" customFormat="1" hidden="1">
      <c r="A16" s="385" t="s">
        <v>343</v>
      </c>
      <c r="L16" s="341">
        <v>650</v>
      </c>
      <c r="M16" s="387"/>
      <c r="R16" s="399" t="s">
        <v>505</v>
      </c>
    </row>
    <row r="17" spans="1:18" s="223" customFormat="1" hidden="1">
      <c r="A17" s="385" t="s">
        <v>4</v>
      </c>
      <c r="L17" s="341">
        <v>1585</v>
      </c>
      <c r="M17" s="387">
        <v>10</v>
      </c>
      <c r="N17" s="387">
        <v>4</v>
      </c>
      <c r="O17" s="387">
        <v>6</v>
      </c>
      <c r="P17" s="387"/>
      <c r="Q17" s="405"/>
      <c r="R17" s="406">
        <f>SUM(N17:Q17)</f>
        <v>10</v>
      </c>
    </row>
    <row r="18" spans="1:18" s="223" customFormat="1" hidden="1">
      <c r="A18" s="385" t="s">
        <v>5</v>
      </c>
      <c r="L18" s="341">
        <v>820</v>
      </c>
      <c r="M18" s="387"/>
      <c r="R18" s="399" t="s">
        <v>505</v>
      </c>
    </row>
    <row r="19" spans="1:18" s="223" customFormat="1" hidden="1">
      <c r="A19" s="385" t="s">
        <v>1</v>
      </c>
      <c r="L19" s="341">
        <v>4620</v>
      </c>
      <c r="M19" s="387">
        <v>54</v>
      </c>
      <c r="N19" s="387"/>
      <c r="O19" s="387"/>
      <c r="P19" s="387"/>
      <c r="Q19" s="405"/>
      <c r="R19" s="406">
        <f t="shared" ref="R19:R28" si="0">SUM(N19:Q19)</f>
        <v>0</v>
      </c>
    </row>
    <row r="20" spans="1:18" s="223" customFormat="1" hidden="1">
      <c r="A20" s="385" t="s">
        <v>2</v>
      </c>
      <c r="L20" s="341">
        <v>3368</v>
      </c>
      <c r="M20" s="387">
        <v>32</v>
      </c>
      <c r="N20" s="387">
        <v>4</v>
      </c>
      <c r="O20" s="387">
        <v>10</v>
      </c>
      <c r="P20" s="387">
        <v>10</v>
      </c>
      <c r="Q20" s="405">
        <v>6</v>
      </c>
      <c r="R20" s="406">
        <f t="shared" si="0"/>
        <v>30</v>
      </c>
    </row>
    <row r="21" spans="1:18" s="223" customFormat="1" hidden="1">
      <c r="A21" s="385" t="s">
        <v>440</v>
      </c>
      <c r="L21" s="341">
        <v>1365</v>
      </c>
      <c r="M21" s="387">
        <v>9</v>
      </c>
      <c r="N21" s="387">
        <v>4</v>
      </c>
      <c r="O21" s="387">
        <v>5</v>
      </c>
      <c r="P21" s="387"/>
      <c r="Q21" s="405"/>
      <c r="R21" s="406">
        <f t="shared" si="0"/>
        <v>9</v>
      </c>
    </row>
    <row r="22" spans="1:18" s="223" customFormat="1" hidden="1">
      <c r="A22" s="385" t="s">
        <v>310</v>
      </c>
      <c r="L22" s="341">
        <v>1470</v>
      </c>
      <c r="M22" s="387">
        <v>10</v>
      </c>
      <c r="N22" s="387">
        <v>4</v>
      </c>
      <c r="O22" s="387">
        <v>6</v>
      </c>
      <c r="P22" s="387"/>
      <c r="Q22" s="405"/>
      <c r="R22" s="406">
        <f t="shared" si="0"/>
        <v>10</v>
      </c>
    </row>
    <row r="23" spans="1:18" s="223" customFormat="1" hidden="1">
      <c r="A23" s="385" t="s">
        <v>23</v>
      </c>
      <c r="L23" s="341">
        <v>1435</v>
      </c>
      <c r="M23" s="387">
        <v>10</v>
      </c>
      <c r="N23" s="387">
        <v>4</v>
      </c>
      <c r="O23" s="387">
        <v>6</v>
      </c>
      <c r="P23" s="387"/>
      <c r="Q23" s="405"/>
      <c r="R23" s="406">
        <f t="shared" si="0"/>
        <v>10</v>
      </c>
    </row>
    <row r="24" spans="1:18" s="223" customFormat="1" hidden="1">
      <c r="A24" s="385" t="s">
        <v>21</v>
      </c>
      <c r="L24" s="341">
        <v>1360</v>
      </c>
      <c r="M24" s="387">
        <v>10</v>
      </c>
      <c r="N24" s="387">
        <v>4</v>
      </c>
      <c r="O24" s="387">
        <v>6</v>
      </c>
      <c r="P24" s="387"/>
      <c r="Q24" s="405"/>
      <c r="R24" s="406">
        <f t="shared" si="0"/>
        <v>10</v>
      </c>
    </row>
    <row r="25" spans="1:18" s="223" customFormat="1" hidden="1">
      <c r="A25" s="385" t="s">
        <v>467</v>
      </c>
      <c r="L25" s="341">
        <v>1365</v>
      </c>
      <c r="M25" s="387">
        <v>9</v>
      </c>
      <c r="N25" s="387">
        <v>9</v>
      </c>
      <c r="O25" s="387"/>
      <c r="P25" s="387"/>
      <c r="Q25" s="405"/>
      <c r="R25" s="406">
        <f t="shared" si="0"/>
        <v>9</v>
      </c>
    </row>
    <row r="26" spans="1:18" s="223" customFormat="1" hidden="1">
      <c r="A26" s="385" t="s">
        <v>466</v>
      </c>
      <c r="L26" s="341">
        <v>1540</v>
      </c>
      <c r="M26" s="387">
        <v>10</v>
      </c>
      <c r="N26" s="387">
        <v>10</v>
      </c>
      <c r="O26" s="387"/>
      <c r="P26" s="387"/>
      <c r="Q26" s="405"/>
      <c r="R26" s="406">
        <f t="shared" si="0"/>
        <v>10</v>
      </c>
    </row>
    <row r="27" spans="1:18" s="223" customFormat="1" hidden="1">
      <c r="A27" s="385" t="s">
        <v>6</v>
      </c>
      <c r="L27" s="341">
        <v>3530</v>
      </c>
      <c r="M27" s="387">
        <v>23</v>
      </c>
      <c r="N27" s="387">
        <v>4</v>
      </c>
      <c r="O27" s="387">
        <v>10</v>
      </c>
      <c r="P27" s="387">
        <v>8</v>
      </c>
      <c r="Q27" s="405"/>
      <c r="R27" s="406">
        <f t="shared" si="0"/>
        <v>22</v>
      </c>
    </row>
    <row r="28" spans="1:18" s="223" customFormat="1" hidden="1">
      <c r="A28" s="385" t="s">
        <v>7</v>
      </c>
      <c r="L28" s="341">
        <v>1540</v>
      </c>
      <c r="M28" s="387">
        <v>10</v>
      </c>
      <c r="N28" s="387">
        <v>4</v>
      </c>
      <c r="O28" s="387">
        <v>6</v>
      </c>
      <c r="P28" s="387"/>
      <c r="Q28" s="405"/>
      <c r="R28" s="406">
        <f t="shared" si="0"/>
        <v>10</v>
      </c>
    </row>
    <row r="29" spans="1:18" s="223" customFormat="1" hidden="1">
      <c r="A29" s="385" t="s">
        <v>309</v>
      </c>
      <c r="L29" s="341">
        <v>1100</v>
      </c>
      <c r="M29" s="387"/>
      <c r="N29" s="387"/>
      <c r="O29" s="387"/>
      <c r="P29" s="387"/>
      <c r="Q29" s="405"/>
      <c r="R29" s="406" t="s">
        <v>505</v>
      </c>
    </row>
    <row r="30" spans="1:18" s="223" customFormat="1" hidden="1">
      <c r="A30" s="385" t="s">
        <v>14</v>
      </c>
      <c r="L30" s="341">
        <v>1200</v>
      </c>
      <c r="M30" s="387"/>
      <c r="N30" s="317"/>
      <c r="O30" s="43"/>
      <c r="P30" s="43"/>
      <c r="Q30" s="43"/>
      <c r="R30" s="399" t="s">
        <v>505</v>
      </c>
    </row>
    <row r="31" spans="1:18" s="223" customFormat="1" hidden="1">
      <c r="A31" s="385" t="s">
        <v>15</v>
      </c>
      <c r="L31" s="341">
        <v>4200</v>
      </c>
      <c r="M31" s="387">
        <v>32</v>
      </c>
      <c r="N31" s="387">
        <v>4</v>
      </c>
      <c r="O31" s="387">
        <v>10</v>
      </c>
      <c r="P31" s="387">
        <v>10</v>
      </c>
      <c r="Q31" s="405">
        <v>6</v>
      </c>
      <c r="R31" s="406">
        <f>SUM(N31:Q31)</f>
        <v>30</v>
      </c>
    </row>
    <row r="32" spans="1:18" s="223" customFormat="1" hidden="1">
      <c r="A32" s="385" t="s">
        <v>22</v>
      </c>
      <c r="L32" s="341">
        <v>3450</v>
      </c>
      <c r="M32" s="387">
        <v>43</v>
      </c>
      <c r="N32" s="387"/>
      <c r="O32" s="387"/>
      <c r="P32" s="387"/>
      <c r="Q32" s="405"/>
      <c r="R32" s="406">
        <f>SUM(N32:Q32)</f>
        <v>0</v>
      </c>
    </row>
    <row r="33" spans="1:27" s="223" customFormat="1" hidden="1">
      <c r="A33" s="385" t="s">
        <v>16</v>
      </c>
      <c r="L33" s="341">
        <v>1930</v>
      </c>
      <c r="M33" s="387"/>
      <c r="N33" s="317"/>
      <c r="O33" s="43"/>
      <c r="P33" s="43"/>
      <c r="Q33" s="43"/>
      <c r="R33" s="399" t="s">
        <v>505</v>
      </c>
      <c r="S33" s="43"/>
      <c r="T33" s="43"/>
      <c r="U33" s="43"/>
      <c r="V33" s="43"/>
      <c r="W33" s="43"/>
    </row>
    <row r="34" spans="1:27" s="223" customFormat="1" hidden="1">
      <c r="A34" s="385" t="s">
        <v>17</v>
      </c>
      <c r="L34" s="341">
        <v>3198</v>
      </c>
      <c r="M34" s="387">
        <v>32</v>
      </c>
      <c r="N34" s="387">
        <v>4</v>
      </c>
      <c r="O34" s="387">
        <v>10</v>
      </c>
      <c r="P34" s="387">
        <v>10</v>
      </c>
      <c r="Q34" s="405">
        <v>6</v>
      </c>
      <c r="R34" s="406">
        <f t="shared" ref="R34:R46" si="1">SUM(N34:Q34)</f>
        <v>30</v>
      </c>
    </row>
    <row r="35" spans="1:27" s="223" customFormat="1" hidden="1">
      <c r="A35" s="385" t="s">
        <v>18</v>
      </c>
      <c r="L35" s="341">
        <v>2762</v>
      </c>
      <c r="M35" s="387"/>
      <c r="N35" s="387"/>
      <c r="O35" s="387"/>
      <c r="P35" s="387"/>
      <c r="Q35" s="405"/>
      <c r="R35" s="406" t="s">
        <v>505</v>
      </c>
    </row>
    <row r="36" spans="1:27" s="223" customFormat="1" hidden="1">
      <c r="A36" s="385" t="s">
        <v>19</v>
      </c>
      <c r="L36" s="341">
        <v>1500</v>
      </c>
      <c r="M36" s="387">
        <v>10</v>
      </c>
      <c r="N36" s="387">
        <v>4</v>
      </c>
      <c r="O36" s="387">
        <v>6</v>
      </c>
      <c r="P36" s="387"/>
      <c r="Q36" s="405"/>
      <c r="R36" s="406">
        <f t="shared" si="1"/>
        <v>10</v>
      </c>
    </row>
    <row r="37" spans="1:27" s="223" customFormat="1" hidden="1">
      <c r="A37" s="385" t="s">
        <v>20</v>
      </c>
      <c r="L37" s="341">
        <v>9000</v>
      </c>
      <c r="M37" s="387">
        <v>54</v>
      </c>
      <c r="N37" s="387"/>
      <c r="O37" s="387"/>
      <c r="P37" s="387"/>
      <c r="Q37" s="405"/>
      <c r="R37" s="406">
        <f t="shared" si="1"/>
        <v>0</v>
      </c>
    </row>
    <row r="38" spans="1:27" s="223" customFormat="1" hidden="1">
      <c r="A38" s="385" t="s">
        <v>308</v>
      </c>
      <c r="L38" s="341">
        <v>3423</v>
      </c>
      <c r="M38" s="387"/>
      <c r="N38" s="387"/>
      <c r="O38" s="387"/>
      <c r="P38" s="387"/>
      <c r="Q38" s="405"/>
      <c r="R38" s="406" t="s">
        <v>505</v>
      </c>
    </row>
    <row r="39" spans="1:27" s="223" customFormat="1" hidden="1">
      <c r="A39" s="385" t="s">
        <v>8</v>
      </c>
      <c r="L39" s="341">
        <v>3600</v>
      </c>
      <c r="M39" s="387"/>
      <c r="N39" s="387"/>
      <c r="O39" s="387"/>
      <c r="P39" s="387"/>
      <c r="Q39" s="405"/>
      <c r="R39" s="406" t="s">
        <v>505</v>
      </c>
    </row>
    <row r="40" spans="1:27" s="223" customFormat="1" hidden="1">
      <c r="A40" s="385" t="s">
        <v>10</v>
      </c>
      <c r="L40" s="341">
        <v>3550</v>
      </c>
      <c r="M40" s="387"/>
      <c r="N40" s="387"/>
      <c r="O40" s="387"/>
      <c r="P40" s="387"/>
      <c r="Q40" s="405"/>
      <c r="R40" s="406" t="s">
        <v>505</v>
      </c>
    </row>
    <row r="41" spans="1:27" s="223" customFormat="1" hidden="1">
      <c r="A41" s="385" t="s">
        <v>9</v>
      </c>
      <c r="L41" s="341">
        <v>3160</v>
      </c>
      <c r="M41" s="387"/>
      <c r="N41" s="387"/>
      <c r="O41" s="387"/>
      <c r="P41" s="387"/>
      <c r="Q41" s="405"/>
      <c r="R41" s="406" t="s">
        <v>505</v>
      </c>
    </row>
    <row r="42" spans="1:27" s="223" customFormat="1" hidden="1">
      <c r="A42" s="385" t="s">
        <v>3</v>
      </c>
      <c r="L42" s="341">
        <v>3260</v>
      </c>
      <c r="M42" s="387"/>
      <c r="N42" s="387"/>
      <c r="O42" s="387"/>
      <c r="P42" s="387"/>
      <c r="Q42" s="405"/>
      <c r="R42" s="406" t="s">
        <v>505</v>
      </c>
    </row>
    <row r="43" spans="1:27" s="223" customFormat="1" hidden="1">
      <c r="A43" s="385" t="s">
        <v>13</v>
      </c>
      <c r="L43" s="341">
        <v>4200</v>
      </c>
      <c r="M43" s="387">
        <v>32</v>
      </c>
      <c r="N43" s="387">
        <f>IF(DAPEC!C19&lt;'Déplacement Forfait'!K15,4,"")</f>
        <v>4</v>
      </c>
      <c r="O43" s="387">
        <v>10</v>
      </c>
      <c r="P43" s="387">
        <v>10</v>
      </c>
      <c r="Q43" s="405">
        <f>IF(DAPEC!C19&lt;'Déplacement Forfait'!K15,6,"")</f>
        <v>6</v>
      </c>
      <c r="R43" s="406">
        <f t="shared" si="1"/>
        <v>30</v>
      </c>
      <c r="S43" s="387"/>
      <c r="T43" s="387"/>
      <c r="U43" s="387"/>
      <c r="V43" s="405"/>
    </row>
    <row r="44" spans="1:27" s="223" customFormat="1" hidden="1">
      <c r="A44" s="385" t="s">
        <v>11</v>
      </c>
      <c r="L44" s="341">
        <v>3290</v>
      </c>
      <c r="M44" s="387">
        <v>21</v>
      </c>
      <c r="N44" s="387">
        <f>IF(DAPEC!C19&lt;'Déplacement Forfait'!K15,3,"")</f>
        <v>3</v>
      </c>
      <c r="O44" s="387">
        <f>IF(DAPEC!C19&lt;'Déplacement Forfait'!K15,10,"")</f>
        <v>10</v>
      </c>
      <c r="P44" s="387">
        <f>IF(DAPEC!C19&lt;'Déplacement Forfait'!K15,8,"")</f>
        <v>8</v>
      </c>
      <c r="Q44" s="405"/>
      <c r="R44" s="406">
        <f t="shared" si="1"/>
        <v>21</v>
      </c>
    </row>
    <row r="45" spans="1:27" s="223" customFormat="1" hidden="1">
      <c r="A45" s="385" t="s">
        <v>12</v>
      </c>
      <c r="L45" s="341">
        <v>3600</v>
      </c>
      <c r="M45" s="387">
        <v>21</v>
      </c>
      <c r="N45" s="387">
        <f>IF(DAPEC!C19&lt;'Déplacement Forfait'!K15,4,"")</f>
        <v>4</v>
      </c>
      <c r="O45" s="387">
        <v>10</v>
      </c>
      <c r="P45" s="387">
        <f>IF(DAPEC!C19&lt;'Déplacement Forfait'!K15,6,"")</f>
        <v>6</v>
      </c>
      <c r="Q45" s="405"/>
      <c r="R45" s="406">
        <f t="shared" si="1"/>
        <v>20</v>
      </c>
    </row>
    <row r="46" spans="1:27" s="223" customFormat="1" hidden="1">
      <c r="A46" s="223" t="s">
        <v>344</v>
      </c>
      <c r="L46" s="341">
        <v>3600</v>
      </c>
      <c r="M46" s="387">
        <v>21</v>
      </c>
      <c r="N46" s="387">
        <f>IF(DAPEC!C19&lt;'Déplacement Forfait'!K15,4,"")</f>
        <v>4</v>
      </c>
      <c r="O46" s="387">
        <v>10</v>
      </c>
      <c r="P46" s="387">
        <f>IF(DAPEC!C19&lt;'Déplacement Forfait'!K15,6,"")</f>
        <v>6</v>
      </c>
      <c r="Q46" s="405"/>
      <c r="R46" s="406">
        <f t="shared" si="1"/>
        <v>20</v>
      </c>
    </row>
    <row r="47" spans="1:27" s="223" customFormat="1" hidden="1">
      <c r="A47" s="223" t="s">
        <v>141</v>
      </c>
      <c r="R47" s="399"/>
      <c r="Z47" s="353"/>
      <c r="AA47" s="353"/>
    </row>
    <row r="48" spans="1:27" s="223" customFormat="1" hidden="1">
      <c r="A48" s="223" t="s">
        <v>244</v>
      </c>
      <c r="R48" s="399"/>
      <c r="Z48" s="353"/>
      <c r="AA48" s="353"/>
    </row>
    <row r="49" spans="1:27" s="223" customFormat="1" hidden="1">
      <c r="A49" s="223" t="s">
        <v>245</v>
      </c>
      <c r="R49" s="399"/>
      <c r="Z49" s="353"/>
      <c r="AA49" s="353"/>
    </row>
    <row r="50" spans="1:27" s="223" customFormat="1" hidden="1">
      <c r="R50" s="399"/>
      <c r="Z50" s="353"/>
      <c r="AA50" s="353"/>
    </row>
    <row r="51" spans="1:27" s="223" customFormat="1" hidden="1">
      <c r="R51" s="399"/>
      <c r="Z51" s="353"/>
      <c r="AA51" s="353"/>
    </row>
    <row r="52" spans="1:27" s="223" customFormat="1" hidden="1">
      <c r="R52" s="399"/>
      <c r="Z52" s="353"/>
      <c r="AA52" s="353"/>
    </row>
    <row r="53" spans="1:27" s="223" customFormat="1" hidden="1">
      <c r="R53" s="399"/>
      <c r="Z53" s="353"/>
      <c r="AA53" s="353"/>
    </row>
    <row r="54" spans="1:27" s="223" customFormat="1" hidden="1">
      <c r="R54" s="399"/>
      <c r="Z54" s="353"/>
      <c r="AA54" s="353"/>
    </row>
    <row r="55" spans="1:27" s="223" customFormat="1" hidden="1">
      <c r="R55" s="399"/>
      <c r="Z55" s="353"/>
      <c r="AA55" s="353"/>
    </row>
    <row r="56" spans="1:27" s="223" customFormat="1">
      <c r="R56" s="399"/>
      <c r="Z56" s="353"/>
      <c r="AA56" s="353"/>
    </row>
    <row r="57" spans="1:27" s="223" customFormat="1">
      <c r="R57" s="399"/>
      <c r="Z57" s="353"/>
      <c r="AA57" s="353"/>
    </row>
  </sheetData>
  <sheetProtection algorithmName="SHA-512" hashValue="YmEzxJ4BjADSaLeqG0WmeULpE80Awv4pMOSBlo3BlaKaPaFk8AMbaJpiiut23Z5xfgz3ljWAFAMubhGk8HxFmw==" saltValue="4SVcIQMcitaoWZAiUX3jEQ==" spinCount="100000" sheet="1" objects="1" scenarios="1"/>
  <sortState xmlns:xlrd2="http://schemas.microsoft.com/office/spreadsheetml/2017/richdata2" ref="A21:AA22">
    <sortCondition ref="A21:A22"/>
  </sortState>
  <dataConsolidate/>
  <mergeCells count="28">
    <mergeCell ref="S6:W6"/>
    <mergeCell ref="J13:K13"/>
    <mergeCell ref="A11:J11"/>
    <mergeCell ref="L11:R11"/>
    <mergeCell ref="P10:R10"/>
    <mergeCell ref="F13:G13"/>
    <mergeCell ref="H13:I13"/>
    <mergeCell ref="B13:C13"/>
    <mergeCell ref="D13:E13"/>
    <mergeCell ref="S14:V14"/>
    <mergeCell ref="J7:K7"/>
    <mergeCell ref="A7:G7"/>
    <mergeCell ref="A8:O8"/>
    <mergeCell ref="P8:R8"/>
    <mergeCell ref="A10:O10"/>
    <mergeCell ref="A9:O9"/>
    <mergeCell ref="P9:R9"/>
    <mergeCell ref="A15:J15"/>
    <mergeCell ref="A12:R12"/>
    <mergeCell ref="L13:R14"/>
    <mergeCell ref="A1:K1"/>
    <mergeCell ref="A2:R2"/>
    <mergeCell ref="A3:R3"/>
    <mergeCell ref="K4:R4"/>
    <mergeCell ref="A5:E5"/>
    <mergeCell ref="F5:R5"/>
    <mergeCell ref="D6:E6"/>
    <mergeCell ref="F6:K6"/>
  </mergeCells>
  <phoneticPr fontId="52" type="noConversion"/>
  <conditionalFormatting sqref="A2">
    <cfRule type="containsText" dxfId="2" priority="8" operator="containsText" text="Le calcul sur la base d'un forfait n'est pas possible pour les formations en discontinu">
      <formula>NOT(ISERROR(SEARCH("Le calcul sur la base d'un forfait n'est pas possible pour les formations en discontinu",A2)))</formula>
    </cfRule>
  </conditionalFormatting>
  <conditionalFormatting sqref="K11">
    <cfRule type="cellIs" dxfId="1" priority="7" operator="equal">
      <formula>0</formula>
    </cfRule>
  </conditionalFormatting>
  <conditionalFormatting sqref="P8:R10">
    <cfRule type="cellIs" dxfId="0" priority="1" operator="equal">
      <formula>"Choisir"</formula>
    </cfRule>
  </conditionalFormatting>
  <dataValidations count="3">
    <dataValidation errorStyle="warning" operator="lessThan" allowBlank="1" showInputMessage="1" showErrorMessage="1" error="Voir cas particulier : La prise en charge ne peut excéder 11 mois par année civile." sqref="D14" xr:uid="{00000000-0002-0000-0300-000000000000}"/>
    <dataValidation operator="lessThan" allowBlank="1" showInputMessage="1" showErrorMessage="1" error="Voir cas particulier : La prise en charge ne peut excéder 11 mois par année civile." sqref="F14" xr:uid="{00000000-0002-0000-0300-000001000000}"/>
    <dataValidation type="list" allowBlank="1" showInputMessage="1" showErrorMessage="1" sqref="Q8:R10 P8:P10" xr:uid="{00000000-0002-0000-0300-000002000000}">
      <formula1>$A$47:$A$49</formula1>
    </dataValidation>
  </dataValidations>
  <printOptions horizontalCentered="1"/>
  <pageMargins left="0" right="0" top="0" bottom="0" header="0.11811023622047245" footer="0"/>
  <pageSetup paperSize="9" scale="9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9" tint="0.39997558519241921"/>
  </sheetPr>
  <dimension ref="A1:AN46"/>
  <sheetViews>
    <sheetView topLeftCell="E1" zoomScaleNormal="100" workbookViewId="0">
      <selection activeCell="E8" sqref="E8:G8"/>
    </sheetView>
  </sheetViews>
  <sheetFormatPr baseColWidth="10" defaultColWidth="11.44140625" defaultRowHeight="10.199999999999999"/>
  <cols>
    <col min="1" max="1" width="8.77734375" style="47" customWidth="1"/>
    <col min="2" max="10" width="9.77734375" style="47" customWidth="1"/>
    <col min="11" max="11" width="11.77734375" style="47" customWidth="1"/>
    <col min="12" max="12" width="4.77734375" style="47" customWidth="1"/>
    <col min="13" max="13" width="9.77734375" style="47" customWidth="1"/>
    <col min="14" max="14" width="6.5546875" style="47" customWidth="1"/>
    <col min="15" max="16" width="7.21875" style="47" customWidth="1"/>
    <col min="17" max="24" width="11.77734375" style="47" hidden="1" customWidth="1"/>
    <col min="25" max="25" width="123.77734375" style="47" customWidth="1"/>
    <col min="26" max="16384" width="11.44140625" style="47"/>
  </cols>
  <sheetData>
    <row r="1" spans="1:40" s="28" customFormat="1" ht="91.5" customHeight="1">
      <c r="A1" s="45"/>
      <c r="B1" s="46"/>
      <c r="C1" s="46"/>
      <c r="D1" s="46"/>
      <c r="E1" s="46"/>
      <c r="F1" s="46"/>
      <c r="G1" s="46"/>
      <c r="H1" s="46"/>
      <c r="I1" s="46"/>
      <c r="J1" s="46"/>
      <c r="K1" s="46"/>
      <c r="L1" s="46"/>
      <c r="M1" s="46"/>
      <c r="N1" s="46"/>
      <c r="O1" s="46"/>
      <c r="P1" s="46"/>
      <c r="Q1" s="7"/>
      <c r="R1" s="7"/>
      <c r="S1" s="7"/>
      <c r="T1" s="7"/>
      <c r="U1" s="7"/>
      <c r="V1" s="7"/>
      <c r="W1" s="7"/>
      <c r="X1" s="7"/>
      <c r="Y1" s="626" t="s">
        <v>506</v>
      </c>
    </row>
    <row r="2" spans="1:40" s="11" customFormat="1" ht="22.5" customHeight="1">
      <c r="A2" s="471" t="s">
        <v>216</v>
      </c>
      <c r="B2" s="471"/>
      <c r="C2" s="471"/>
      <c r="D2" s="471"/>
      <c r="E2" s="471"/>
      <c r="F2" s="471"/>
      <c r="G2" s="471"/>
      <c r="H2" s="471"/>
      <c r="I2" s="471"/>
      <c r="J2" s="471"/>
      <c r="K2" s="471"/>
      <c r="L2" s="471" t="s">
        <v>368</v>
      </c>
      <c r="M2" s="471"/>
      <c r="N2" s="471"/>
      <c r="O2" s="471"/>
      <c r="P2" s="471"/>
      <c r="Y2" s="626"/>
    </row>
    <row r="3" spans="1:40" ht="15" customHeight="1">
      <c r="A3" s="275" t="str">
        <f>IF(DAPEC!A3="SELECTIONNER VOTRE ETABLISSEMENT DANS LA LISTE","Sélectionner votre établissement onglet DAPEC ligne 3",DAPEC!A3)</f>
        <v>Sélectionner votre établissement onglet DAPEC ligne 3</v>
      </c>
      <c r="B3" s="275"/>
      <c r="C3" s="275"/>
      <c r="D3" s="275"/>
      <c r="E3" s="275"/>
      <c r="F3" s="417"/>
      <c r="G3" s="417"/>
      <c r="H3" s="417"/>
      <c r="I3" s="625" t="str">
        <f>IF(DAPEC!B11="","Renseigner le nom de l'agent onglet DAPEC ligne 11",IF(DAPEC!D14="Oui, forfait mensuel","Vous avez choisi le forfait mensuel, vous devez utiliser l'onglet précédent",DAPEC!B11))</f>
        <v>Renseigner le nom de l'agent onglet DAPEC ligne 11</v>
      </c>
      <c r="J3" s="625"/>
      <c r="K3" s="625"/>
      <c r="L3" s="625"/>
      <c r="M3" s="625"/>
      <c r="N3" s="625"/>
      <c r="O3" s="625"/>
      <c r="P3" s="625"/>
      <c r="Y3" s="626"/>
    </row>
    <row r="4" spans="1:40" ht="15" customHeight="1">
      <c r="A4" s="595" t="s">
        <v>421</v>
      </c>
      <c r="B4" s="595"/>
      <c r="C4" s="595"/>
      <c r="D4" s="595"/>
      <c r="E4" s="595"/>
      <c r="F4" s="417"/>
      <c r="G4" s="417"/>
      <c r="H4" s="417"/>
      <c r="I4" s="625"/>
      <c r="J4" s="625"/>
      <c r="K4" s="625"/>
      <c r="L4" s="625"/>
      <c r="M4" s="625"/>
      <c r="N4" s="625"/>
      <c r="O4" s="625"/>
      <c r="P4" s="625"/>
      <c r="Y4" s="626"/>
    </row>
    <row r="5" spans="1:40" ht="10.5" customHeight="1">
      <c r="A5" s="47" t="s">
        <v>422</v>
      </c>
      <c r="Y5" s="626"/>
    </row>
    <row r="6" spans="1:40" ht="10.5" customHeight="1">
      <c r="A6" s="47" t="s">
        <v>423</v>
      </c>
      <c r="Q6" s="53"/>
      <c r="R6" s="53"/>
      <c r="S6" s="53"/>
      <c r="T6" s="53"/>
      <c r="U6" s="53"/>
      <c r="V6" s="53"/>
      <c r="W6" s="53"/>
      <c r="X6" s="53"/>
      <c r="Y6" s="626"/>
      <c r="Z6" s="54"/>
      <c r="AA6" s="54"/>
      <c r="AB6" s="54"/>
      <c r="AC6" s="54"/>
      <c r="AD6" s="54"/>
      <c r="AE6" s="54"/>
      <c r="AF6" s="54"/>
      <c r="AG6" s="54"/>
      <c r="AH6" s="54"/>
      <c r="AI6" s="54"/>
      <c r="AJ6" s="54"/>
      <c r="AK6" s="54"/>
      <c r="AL6" s="54"/>
      <c r="AM6" s="54"/>
      <c r="AN6" s="54"/>
    </row>
    <row r="7" spans="1:40" ht="10.5" customHeight="1">
      <c r="A7" s="47" t="s">
        <v>424</v>
      </c>
      <c r="Q7" s="53"/>
      <c r="R7" s="53"/>
      <c r="S7" s="53"/>
      <c r="T7" s="53"/>
      <c r="U7" s="53"/>
      <c r="V7" s="53"/>
      <c r="W7" s="53"/>
      <c r="X7" s="53"/>
      <c r="Y7" s="626"/>
    </row>
    <row r="8" spans="1:40" ht="10.5" customHeight="1">
      <c r="A8" s="602" t="s">
        <v>463</v>
      </c>
      <c r="B8" s="602"/>
      <c r="C8" s="602"/>
      <c r="D8" s="602"/>
      <c r="E8" s="603"/>
      <c r="F8" s="603"/>
      <c r="G8" s="603"/>
      <c r="H8" s="54"/>
      <c r="I8" s="342" t="s">
        <v>461</v>
      </c>
      <c r="J8" s="603"/>
      <c r="K8" s="603"/>
      <c r="L8" s="603"/>
      <c r="O8" s="342" t="s">
        <v>464</v>
      </c>
      <c r="P8" s="273">
        <v>0</v>
      </c>
      <c r="Y8" s="626"/>
    </row>
    <row r="9" spans="1:40" ht="10.5" customHeight="1">
      <c r="A9" s="602" t="s">
        <v>462</v>
      </c>
      <c r="B9" s="602"/>
      <c r="C9" s="602"/>
      <c r="D9" s="602"/>
      <c r="E9" s="603"/>
      <c r="F9" s="603"/>
      <c r="G9" s="603"/>
      <c r="H9" s="54"/>
      <c r="I9" s="342" t="s">
        <v>461</v>
      </c>
      <c r="J9" s="603"/>
      <c r="K9" s="603"/>
      <c r="L9" s="603"/>
      <c r="O9" s="342" t="s">
        <v>464</v>
      </c>
      <c r="P9" s="273">
        <v>0</v>
      </c>
      <c r="Y9" s="626"/>
    </row>
    <row r="10" spans="1:40" ht="10.5" customHeight="1">
      <c r="A10" s="602" t="s">
        <v>426</v>
      </c>
      <c r="B10" s="602"/>
      <c r="C10" s="602"/>
      <c r="D10" s="602"/>
      <c r="E10" s="602"/>
      <c r="F10" s="602"/>
      <c r="G10" s="602"/>
      <c r="H10" s="602"/>
      <c r="I10" s="602"/>
      <c r="J10" s="602"/>
      <c r="K10" s="602"/>
      <c r="L10" s="602"/>
      <c r="M10" s="602"/>
      <c r="N10" s="602"/>
      <c r="O10" s="602"/>
      <c r="P10" s="276">
        <f>MIN(P8:P9)</f>
        <v>0</v>
      </c>
      <c r="Y10" s="626"/>
    </row>
    <row r="11" spans="1:40" ht="10.5" customHeight="1">
      <c r="A11" s="48" t="s">
        <v>250</v>
      </c>
      <c r="B11" s="48"/>
      <c r="C11" s="629" t="s">
        <v>141</v>
      </c>
      <c r="D11" s="629"/>
      <c r="E11" s="47" t="s">
        <v>157</v>
      </c>
      <c r="G11" s="268"/>
      <c r="K11" s="261" t="s">
        <v>409</v>
      </c>
      <c r="L11" s="84"/>
      <c r="M11" s="84"/>
      <c r="N11" s="84"/>
      <c r="O11" s="84"/>
      <c r="P11" s="84"/>
      <c r="Y11" s="626"/>
    </row>
    <row r="12" spans="1:40" ht="10.5" customHeight="1">
      <c r="A12" s="49" t="s">
        <v>214</v>
      </c>
      <c r="B12" s="49" t="s">
        <v>158</v>
      </c>
      <c r="C12" s="49" t="s">
        <v>159</v>
      </c>
      <c r="D12" s="50" t="s">
        <v>0</v>
      </c>
      <c r="E12" s="51" t="s">
        <v>160</v>
      </c>
      <c r="F12" s="49" t="s">
        <v>159</v>
      </c>
      <c r="G12" s="50" t="s">
        <v>0</v>
      </c>
      <c r="H12" s="51" t="s">
        <v>161</v>
      </c>
      <c r="I12" s="49" t="s">
        <v>159</v>
      </c>
      <c r="J12" s="50" t="s">
        <v>0</v>
      </c>
      <c r="K12" s="52" t="s">
        <v>162</v>
      </c>
      <c r="L12" s="270"/>
      <c r="M12" s="604" t="s">
        <v>163</v>
      </c>
      <c r="N12" s="605"/>
      <c r="O12" s="605"/>
      <c r="P12" s="606"/>
      <c r="Y12" s="626"/>
      <c r="Z12" s="54"/>
      <c r="AA12" s="54"/>
      <c r="AB12" s="54"/>
      <c r="AC12" s="54"/>
      <c r="AD12" s="54"/>
      <c r="AE12" s="54"/>
      <c r="AF12" s="54"/>
      <c r="AG12" s="54"/>
      <c r="AH12" s="54"/>
      <c r="AI12" s="54"/>
      <c r="AJ12" s="54"/>
      <c r="AK12" s="54"/>
      <c r="AL12" s="54"/>
      <c r="AM12" s="54"/>
      <c r="AN12" s="54"/>
    </row>
    <row r="13" spans="1:40" ht="10.5" customHeight="1">
      <c r="A13" s="55" t="s">
        <v>215</v>
      </c>
      <c r="B13" s="55" t="s">
        <v>164</v>
      </c>
      <c r="C13" s="55" t="s">
        <v>165</v>
      </c>
      <c r="D13" s="56" t="s">
        <v>166</v>
      </c>
      <c r="E13" s="57" t="s">
        <v>167</v>
      </c>
      <c r="F13" s="55" t="s">
        <v>165</v>
      </c>
      <c r="G13" s="56" t="s">
        <v>166</v>
      </c>
      <c r="H13" s="57" t="s">
        <v>168</v>
      </c>
      <c r="I13" s="55" t="s">
        <v>165</v>
      </c>
      <c r="J13" s="56" t="s">
        <v>166</v>
      </c>
      <c r="K13" s="58" t="s">
        <v>26</v>
      </c>
      <c r="L13" s="270"/>
      <c r="M13" s="607"/>
      <c r="N13" s="608"/>
      <c r="O13" s="608"/>
      <c r="P13" s="609"/>
      <c r="Y13" s="626"/>
    </row>
    <row r="14" spans="1:40" ht="10.5" customHeight="1">
      <c r="A14" s="59" t="s">
        <v>169</v>
      </c>
      <c r="B14" s="240">
        <v>0.32</v>
      </c>
      <c r="C14" s="60" t="str">
        <f>IF(C11=A14,Q21,"")</f>
        <v/>
      </c>
      <c r="D14" s="61" t="str">
        <f>IF(C14="","0,00 €",B14*C14)</f>
        <v>0,00 €</v>
      </c>
      <c r="E14" s="241">
        <v>0.4</v>
      </c>
      <c r="F14" s="60" t="str">
        <f>IF(C11=A14,R21,"")</f>
        <v/>
      </c>
      <c r="G14" s="61" t="str">
        <f>IF(F14="","0,00 €",E14*F14)</f>
        <v>0,00 €</v>
      </c>
      <c r="H14" s="241">
        <v>0.23</v>
      </c>
      <c r="I14" s="60" t="str">
        <f>IF(C11=A14,S21,"")</f>
        <v/>
      </c>
      <c r="J14" s="61" t="str">
        <f>IF(I14="","0,00 €",H14*I14)</f>
        <v>0,00 €</v>
      </c>
      <c r="K14" s="269">
        <f>SUM(J14,G14,D14)</f>
        <v>0</v>
      </c>
      <c r="L14" s="271"/>
      <c r="M14" s="49" t="s">
        <v>170</v>
      </c>
      <c r="N14" s="627" t="s">
        <v>159</v>
      </c>
      <c r="O14" s="628"/>
      <c r="P14" s="49" t="s">
        <v>171</v>
      </c>
      <c r="Y14" s="626"/>
    </row>
    <row r="15" spans="1:40" ht="10.5" customHeight="1">
      <c r="A15" s="59" t="s">
        <v>172</v>
      </c>
      <c r="B15" s="240">
        <v>0.41</v>
      </c>
      <c r="C15" s="60" t="str">
        <f>IF(C11=A15,Q21,"")</f>
        <v/>
      </c>
      <c r="D15" s="61" t="str">
        <f>IF(C15="","0,00 €",B15*C15)</f>
        <v>0,00 €</v>
      </c>
      <c r="E15" s="241">
        <v>0.51</v>
      </c>
      <c r="F15" s="60" t="str">
        <f>IF(C11=A15,R21,"")</f>
        <v/>
      </c>
      <c r="G15" s="61" t="str">
        <f>IF(F15="","0,00 €",E15*F15)</f>
        <v>0,00 €</v>
      </c>
      <c r="H15" s="241">
        <v>0.3</v>
      </c>
      <c r="I15" s="60" t="str">
        <f>IF(C11=A15,S21,"")</f>
        <v/>
      </c>
      <c r="J15" s="61" t="str">
        <f>IF(I15="","0,00 €",H15*I15)</f>
        <v>0,00 €</v>
      </c>
      <c r="K15" s="269">
        <f>SUM(J15,G15,D15)</f>
        <v>0</v>
      </c>
      <c r="L15" s="271"/>
      <c r="M15" s="55"/>
      <c r="N15" s="270" t="s">
        <v>173</v>
      </c>
      <c r="O15" s="270" t="s">
        <v>174</v>
      </c>
      <c r="P15" s="55"/>
      <c r="Q15" s="53"/>
      <c r="R15" s="53"/>
      <c r="S15" s="53"/>
      <c r="T15" s="53"/>
      <c r="U15" s="53"/>
      <c r="V15" s="53"/>
      <c r="W15" s="53"/>
      <c r="X15" s="53"/>
      <c r="Y15" s="626"/>
      <c r="Z15" s="77"/>
      <c r="AA15" s="77"/>
      <c r="AB15" s="77"/>
      <c r="AC15" s="77"/>
      <c r="AD15" s="77"/>
      <c r="AE15" s="77"/>
      <c r="AF15" s="77"/>
      <c r="AG15" s="77"/>
      <c r="AH15" s="77"/>
      <c r="AI15" s="77"/>
      <c r="AJ15" s="77"/>
      <c r="AK15" s="77"/>
      <c r="AL15" s="77"/>
      <c r="AM15" s="77"/>
    </row>
    <row r="16" spans="1:40" ht="10.5" customHeight="1">
      <c r="A16" s="59" t="s">
        <v>175</v>
      </c>
      <c r="B16" s="240">
        <v>0.45</v>
      </c>
      <c r="C16" s="60" t="str">
        <f>IF(C11=A16,Q21,"")</f>
        <v/>
      </c>
      <c r="D16" s="61" t="str">
        <f>IF(C16="","0,00 €",B16*C16)</f>
        <v>0,00 €</v>
      </c>
      <c r="E16" s="241">
        <v>0.55000000000000004</v>
      </c>
      <c r="F16" s="60" t="str">
        <f>IF(C11=A16,R21,"")</f>
        <v/>
      </c>
      <c r="G16" s="61" t="str">
        <f>IF(F16="","0,00 €",E16*F16)</f>
        <v>0,00 €</v>
      </c>
      <c r="H16" s="242">
        <v>0.32</v>
      </c>
      <c r="I16" s="63" t="str">
        <f>IF(C11=A16,S21,"")</f>
        <v/>
      </c>
      <c r="J16" s="61" t="str">
        <f>IF(I16="","0,00 €",H16*I16)</f>
        <v>0,00 €</v>
      </c>
      <c r="K16" s="269">
        <f>SUM(J16,G16,D16)</f>
        <v>0</v>
      </c>
      <c r="L16" s="271"/>
      <c r="M16" s="64" t="s">
        <v>176</v>
      </c>
      <c r="N16" s="65"/>
      <c r="O16" s="66">
        <f>SUM(P10*N16)</f>
        <v>0</v>
      </c>
      <c r="P16" s="60">
        <f>SUM(O16)</f>
        <v>0</v>
      </c>
      <c r="Q16" s="47" t="s">
        <v>249</v>
      </c>
      <c r="Y16" s="626"/>
    </row>
    <row r="17" spans="1:25" ht="10.5" customHeight="1">
      <c r="A17" s="271"/>
      <c r="B17" s="271"/>
      <c r="C17" s="271"/>
      <c r="D17" s="271"/>
      <c r="E17" s="271"/>
      <c r="F17" s="271"/>
      <c r="G17" s="271"/>
      <c r="H17" s="612" t="s">
        <v>177</v>
      </c>
      <c r="I17" s="613"/>
      <c r="J17" s="614"/>
      <c r="K17" s="67">
        <f>SUM(K14:K16)</f>
        <v>0</v>
      </c>
      <c r="L17" s="271"/>
      <c r="M17" s="64" t="s">
        <v>178</v>
      </c>
      <c r="N17" s="65"/>
      <c r="O17" s="66">
        <f>SUM(P10*N17)</f>
        <v>0</v>
      </c>
      <c r="P17" s="60">
        <f>SUM(P16+O17)</f>
        <v>0</v>
      </c>
      <c r="Y17" s="626"/>
    </row>
    <row r="18" spans="1:25" ht="10.5" customHeight="1">
      <c r="A18" s="595" t="s">
        <v>251</v>
      </c>
      <c r="B18" s="595"/>
      <c r="C18" s="595"/>
      <c r="D18" s="595"/>
      <c r="E18" s="595"/>
      <c r="M18" s="64" t="s">
        <v>179</v>
      </c>
      <c r="N18" s="65"/>
      <c r="O18" s="66">
        <f>SUM(P10*N18)</f>
        <v>0</v>
      </c>
      <c r="P18" s="60">
        <f t="shared" ref="P18:P27" si="0">SUM(P17+O18)</f>
        <v>0</v>
      </c>
      <c r="Y18" s="626"/>
    </row>
    <row r="19" spans="1:25" ht="10.5" customHeight="1">
      <c r="A19" s="596"/>
      <c r="B19" s="596"/>
      <c r="C19" s="596"/>
      <c r="D19" s="596"/>
      <c r="E19" s="596"/>
      <c r="M19" s="64" t="s">
        <v>183</v>
      </c>
      <c r="N19" s="65"/>
      <c r="O19" s="66">
        <f>SUM(P10*N19)</f>
        <v>0</v>
      </c>
      <c r="P19" s="60">
        <f t="shared" si="0"/>
        <v>0</v>
      </c>
      <c r="Y19" s="626"/>
    </row>
    <row r="20" spans="1:25" ht="10.5" customHeight="1">
      <c r="A20" s="623"/>
      <c r="B20" s="600"/>
      <c r="C20" s="600"/>
      <c r="D20" s="60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3"/>
      <c r="V20" s="53"/>
      <c r="W20" s="53"/>
      <c r="X20" s="53"/>
      <c r="Y20" s="626"/>
    </row>
    <row r="21" spans="1:25" ht="10.5" customHeight="1">
      <c r="A21" s="590" t="s">
        <v>184</v>
      </c>
      <c r="B21" s="591"/>
      <c r="C21" s="591"/>
      <c r="D21" s="592"/>
      <c r="E21" s="243">
        <v>0</v>
      </c>
      <c r="F21" s="72"/>
      <c r="G21" s="73">
        <f>SUM(E21*F21)</f>
        <v>0</v>
      </c>
      <c r="H21" s="243">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Y21" s="626"/>
    </row>
    <row r="22" spans="1:25" ht="10.5" customHeight="1">
      <c r="A22" s="590" t="s">
        <v>186</v>
      </c>
      <c r="B22" s="591"/>
      <c r="C22" s="591"/>
      <c r="D22" s="592"/>
      <c r="E22" s="243">
        <v>0</v>
      </c>
      <c r="F22" s="72"/>
      <c r="G22" s="73">
        <f>SUM(E22*F22)</f>
        <v>0</v>
      </c>
      <c r="H22" s="243">
        <v>0</v>
      </c>
      <c r="I22" s="72"/>
      <c r="J22" s="73">
        <f>SUM(H22*I22)</f>
        <v>0</v>
      </c>
      <c r="K22" s="62">
        <f>SUM(D22+G22+J22)</f>
        <v>0</v>
      </c>
      <c r="M22" s="64" t="s">
        <v>189</v>
      </c>
      <c r="N22" s="65"/>
      <c r="O22" s="66">
        <f>SUM(P10*N22)</f>
        <v>0</v>
      </c>
      <c r="P22" s="60">
        <f t="shared" si="0"/>
        <v>0</v>
      </c>
      <c r="R22" s="47" t="s">
        <v>141</v>
      </c>
      <c r="S22" s="47" t="s">
        <v>141</v>
      </c>
      <c r="Y22" s="626"/>
    </row>
    <row r="23" spans="1:25" ht="10.5" customHeight="1">
      <c r="A23" s="623"/>
      <c r="B23" s="600"/>
      <c r="C23" s="600"/>
      <c r="D23" s="600"/>
      <c r="E23" s="600"/>
      <c r="F23" s="600"/>
      <c r="G23" s="601"/>
      <c r="H23" s="74" t="s">
        <v>188</v>
      </c>
      <c r="I23" s="64" t="s">
        <v>181</v>
      </c>
      <c r="J23" s="75" t="s">
        <v>0</v>
      </c>
      <c r="K23" s="76"/>
      <c r="M23" s="64" t="s">
        <v>190</v>
      </c>
      <c r="N23" s="65"/>
      <c r="O23" s="66">
        <f>SUM(P10*N23)</f>
        <v>0</v>
      </c>
      <c r="P23" s="60">
        <f t="shared" si="0"/>
        <v>0</v>
      </c>
      <c r="R23" s="47">
        <v>100</v>
      </c>
      <c r="S23" s="47">
        <v>1</v>
      </c>
      <c r="Y23" s="626"/>
    </row>
    <row r="24" spans="1:25" ht="10.5" customHeight="1">
      <c r="A24" s="590" t="s">
        <v>425</v>
      </c>
      <c r="B24" s="591"/>
      <c r="C24" s="591"/>
      <c r="D24" s="591"/>
      <c r="E24" s="591"/>
      <c r="F24" s="591"/>
      <c r="G24" s="592"/>
      <c r="H24" s="244">
        <v>0</v>
      </c>
      <c r="I24" s="72"/>
      <c r="J24" s="73">
        <f>SUM(H24*I24)</f>
        <v>0</v>
      </c>
      <c r="K24" s="62">
        <f>SUM(J24)</f>
        <v>0</v>
      </c>
      <c r="M24" s="64" t="s">
        <v>191</v>
      </c>
      <c r="N24" s="65"/>
      <c r="O24" s="66">
        <f>SUM(P10*N24)</f>
        <v>0</v>
      </c>
      <c r="P24" s="60">
        <f t="shared" si="0"/>
        <v>0</v>
      </c>
      <c r="R24" s="47">
        <v>125</v>
      </c>
      <c r="S24" s="47">
        <v>2</v>
      </c>
      <c r="Y24" s="626"/>
    </row>
    <row r="25" spans="1:25" ht="10.5" customHeight="1">
      <c r="A25" s="590" t="s">
        <v>196</v>
      </c>
      <c r="B25" s="591"/>
      <c r="C25" s="591"/>
      <c r="D25" s="591"/>
      <c r="E25" s="591"/>
      <c r="F25" s="591"/>
      <c r="G25" s="592"/>
      <c r="H25" s="244">
        <v>0</v>
      </c>
      <c r="I25" s="72"/>
      <c r="J25" s="73">
        <f>SUM(H25*I25)</f>
        <v>0</v>
      </c>
      <c r="K25" s="62">
        <f>SUM(J25)</f>
        <v>0</v>
      </c>
      <c r="M25" s="64" t="s">
        <v>192</v>
      </c>
      <c r="N25" s="65"/>
      <c r="O25" s="66">
        <f>SUM(P10*N25)</f>
        <v>0</v>
      </c>
      <c r="P25" s="60">
        <f t="shared" si="0"/>
        <v>0</v>
      </c>
      <c r="R25" s="47">
        <v>150</v>
      </c>
      <c r="S25" s="47">
        <v>3</v>
      </c>
      <c r="Y25" s="626"/>
    </row>
    <row r="26" spans="1:25" ht="10.5" customHeight="1">
      <c r="A26" s="590" t="s">
        <v>195</v>
      </c>
      <c r="B26" s="591"/>
      <c r="C26" s="591"/>
      <c r="D26" s="591"/>
      <c r="E26" s="591"/>
      <c r="F26" s="591"/>
      <c r="G26" s="592"/>
      <c r="H26" s="244">
        <v>0</v>
      </c>
      <c r="I26" s="72"/>
      <c r="J26" s="73">
        <f>SUM(H26*I26)</f>
        <v>0</v>
      </c>
      <c r="K26" s="62">
        <f>SUM(J26)</f>
        <v>0</v>
      </c>
      <c r="M26" s="64" t="s">
        <v>193</v>
      </c>
      <c r="N26" s="65"/>
      <c r="O26" s="66">
        <f>SUM(P10*N26)</f>
        <v>0</v>
      </c>
      <c r="P26" s="60">
        <f t="shared" si="0"/>
        <v>0</v>
      </c>
      <c r="R26" s="47">
        <v>175</v>
      </c>
      <c r="S26" s="47">
        <v>4</v>
      </c>
      <c r="Y26" s="626"/>
    </row>
    <row r="27" spans="1:25" ht="10.5" customHeight="1">
      <c r="A27" s="590" t="s">
        <v>197</v>
      </c>
      <c r="B27" s="591"/>
      <c r="C27" s="591"/>
      <c r="D27" s="591"/>
      <c r="E27" s="591"/>
      <c r="F27" s="591"/>
      <c r="G27" s="592"/>
      <c r="H27" s="244">
        <v>0</v>
      </c>
      <c r="I27" s="72"/>
      <c r="J27" s="73">
        <f>SUM(H27*I27)</f>
        <v>0</v>
      </c>
      <c r="K27" s="62">
        <f>SUM(J27)</f>
        <v>0</v>
      </c>
      <c r="M27" s="64" t="s">
        <v>194</v>
      </c>
      <c r="N27" s="65"/>
      <c r="O27" s="66">
        <f>SUM(P10*N27)</f>
        <v>0</v>
      </c>
      <c r="P27" s="60">
        <f t="shared" si="0"/>
        <v>0</v>
      </c>
      <c r="R27" s="47">
        <v>200</v>
      </c>
      <c r="Y27" s="626"/>
    </row>
    <row r="28" spans="1:25" ht="10.5" customHeight="1">
      <c r="H28" s="612" t="s">
        <v>198</v>
      </c>
      <c r="I28" s="613"/>
      <c r="J28" s="614"/>
      <c r="K28" s="67">
        <f>SUM(K21:K27)</f>
        <v>0</v>
      </c>
      <c r="M28" s="78" t="s">
        <v>162</v>
      </c>
      <c r="N28" s="79">
        <f>SUM(N16:N27)</f>
        <v>0</v>
      </c>
      <c r="O28" s="80">
        <f>SUM(O16:O27)</f>
        <v>0</v>
      </c>
      <c r="P28" s="81">
        <f>SUM(P27)</f>
        <v>0</v>
      </c>
      <c r="R28" s="47">
        <v>225</v>
      </c>
      <c r="Y28" s="626"/>
    </row>
    <row r="29" spans="1:25" ht="10.5" customHeight="1">
      <c r="A29" s="595" t="s">
        <v>199</v>
      </c>
      <c r="B29" s="595"/>
      <c r="C29" s="595"/>
      <c r="D29" s="595"/>
      <c r="E29" s="595"/>
      <c r="R29" s="47">
        <v>250</v>
      </c>
      <c r="Y29" s="626"/>
    </row>
    <row r="30" spans="1:25" ht="10.5" customHeight="1">
      <c r="A30" s="596"/>
      <c r="B30" s="596"/>
      <c r="C30" s="596"/>
      <c r="D30" s="596"/>
      <c r="E30" s="596"/>
      <c r="F30" s="272" t="s">
        <v>476</v>
      </c>
      <c r="G30" s="48"/>
      <c r="H30" s="48"/>
      <c r="I30" s="48"/>
      <c r="J30" s="48"/>
      <c r="K30" s="48"/>
      <c r="R30" s="47">
        <v>275</v>
      </c>
      <c r="Y30" s="626"/>
    </row>
    <row r="31" spans="1:25" ht="10.5" customHeight="1">
      <c r="A31" s="623"/>
      <c r="B31" s="600"/>
      <c r="C31" s="600"/>
      <c r="D31" s="601"/>
      <c r="E31" s="599" t="s">
        <v>200</v>
      </c>
      <c r="F31" s="600"/>
      <c r="G31" s="601"/>
      <c r="H31" s="599" t="s">
        <v>201</v>
      </c>
      <c r="I31" s="600"/>
      <c r="J31" s="601"/>
      <c r="K31" s="597" t="s">
        <v>162</v>
      </c>
      <c r="M31" s="621" t="s">
        <v>170</v>
      </c>
      <c r="N31" s="623" t="s">
        <v>203</v>
      </c>
      <c r="O31" s="624"/>
      <c r="P31" s="610" t="s">
        <v>171</v>
      </c>
      <c r="R31" s="47">
        <v>300</v>
      </c>
      <c r="Y31" s="626"/>
    </row>
    <row r="32" spans="1:25" ht="10.5" customHeight="1">
      <c r="A32" s="263"/>
      <c r="B32" s="260"/>
      <c r="C32" s="260"/>
      <c r="D32" s="262"/>
      <c r="E32" s="68" t="s">
        <v>202</v>
      </c>
      <c r="F32" s="69" t="s">
        <v>181</v>
      </c>
      <c r="G32" s="70" t="s">
        <v>0</v>
      </c>
      <c r="H32" s="68" t="s">
        <v>202</v>
      </c>
      <c r="I32" s="69" t="s">
        <v>181</v>
      </c>
      <c r="J32" s="70" t="s">
        <v>0</v>
      </c>
      <c r="K32" s="598"/>
      <c r="M32" s="622"/>
      <c r="N32" s="64" t="s">
        <v>217</v>
      </c>
      <c r="O32" s="64" t="s">
        <v>218</v>
      </c>
      <c r="P32" s="611"/>
      <c r="R32" s="47">
        <v>325</v>
      </c>
      <c r="Y32" s="626"/>
    </row>
    <row r="33" spans="1:25" ht="10.5" customHeight="1">
      <c r="A33" s="590" t="s">
        <v>323</v>
      </c>
      <c r="B33" s="591"/>
      <c r="C33" s="591"/>
      <c r="D33" s="592"/>
      <c r="E33" s="241">
        <f>SUM(H33/2)</f>
        <v>60</v>
      </c>
      <c r="F33" s="245">
        <v>0</v>
      </c>
      <c r="G33" s="73">
        <f>SUM(E33*F33)</f>
        <v>0</v>
      </c>
      <c r="H33" s="241">
        <v>120</v>
      </c>
      <c r="I33" s="245">
        <v>0</v>
      </c>
      <c r="J33" s="73">
        <f>SUM(H33*I33)</f>
        <v>0</v>
      </c>
      <c r="K33" s="62">
        <f>SUM(G33+J33)</f>
        <v>0</v>
      </c>
      <c r="M33" s="64" t="s">
        <v>176</v>
      </c>
      <c r="N33" s="72"/>
      <c r="O33" s="72"/>
      <c r="P33" s="60">
        <f>SUM(N33:O33)</f>
        <v>0</v>
      </c>
      <c r="R33" s="47">
        <v>350</v>
      </c>
      <c r="Y33" s="626"/>
    </row>
    <row r="34" spans="1:25" ht="10.5" customHeight="1">
      <c r="A34" s="590" t="s">
        <v>324</v>
      </c>
      <c r="B34" s="591"/>
      <c r="C34" s="591"/>
      <c r="D34" s="592"/>
      <c r="E34" s="241">
        <f>SUM(H34/2)</f>
        <v>54</v>
      </c>
      <c r="F34" s="245">
        <v>0</v>
      </c>
      <c r="G34" s="73">
        <f>SUM(E34*F34)</f>
        <v>0</v>
      </c>
      <c r="H34" s="241">
        <f>SUM(H33)-(H33*10%)</f>
        <v>108</v>
      </c>
      <c r="I34" s="245">
        <v>0</v>
      </c>
      <c r="J34" s="73">
        <f>SUM(H34*I34)</f>
        <v>0</v>
      </c>
      <c r="K34" s="62">
        <f>SUM(G34+J34)</f>
        <v>0</v>
      </c>
      <c r="M34" s="64" t="s">
        <v>178</v>
      </c>
      <c r="N34" s="72"/>
      <c r="O34" s="72"/>
      <c r="P34" s="60">
        <f>SUM(P33+N34+O34)</f>
        <v>0</v>
      </c>
      <c r="R34" s="47">
        <v>375</v>
      </c>
      <c r="Y34" s="626"/>
    </row>
    <row r="35" spans="1:25" ht="10.5" customHeight="1">
      <c r="A35" s="590" t="s">
        <v>325</v>
      </c>
      <c r="B35" s="591"/>
      <c r="C35" s="591"/>
      <c r="D35" s="592"/>
      <c r="E35" s="241">
        <f>SUM(H35/2)</f>
        <v>48</v>
      </c>
      <c r="F35" s="245">
        <v>0</v>
      </c>
      <c r="G35" s="73">
        <f>SUM(E35*F35)</f>
        <v>0</v>
      </c>
      <c r="H35" s="241">
        <f>SUM(H33)-(H33*20%)</f>
        <v>96</v>
      </c>
      <c r="I35" s="245">
        <v>0</v>
      </c>
      <c r="J35" s="73">
        <f>SUM(H35*I35)</f>
        <v>0</v>
      </c>
      <c r="K35" s="62">
        <f>SUM(G35+J35)</f>
        <v>0</v>
      </c>
      <c r="M35" s="64" t="s">
        <v>179</v>
      </c>
      <c r="N35" s="72"/>
      <c r="O35" s="72"/>
      <c r="P35" s="60">
        <f t="shared" ref="P35:P39" si="1">SUM(P34+N35+O35)</f>
        <v>0</v>
      </c>
      <c r="R35" s="47">
        <v>400</v>
      </c>
      <c r="Y35" s="626"/>
    </row>
    <row r="36" spans="1:25" ht="10.5" customHeight="1">
      <c r="A36" s="590" t="s">
        <v>326</v>
      </c>
      <c r="B36" s="591"/>
      <c r="C36" s="591"/>
      <c r="D36" s="592"/>
      <c r="E36" s="241">
        <f>SUM(H36/2)</f>
        <v>36</v>
      </c>
      <c r="F36" s="245">
        <v>0</v>
      </c>
      <c r="G36" s="73">
        <f>SUM(E36*F36)</f>
        <v>0</v>
      </c>
      <c r="H36" s="241">
        <f>SUM(H33)-(H33*40%)</f>
        <v>72</v>
      </c>
      <c r="I36" s="245">
        <v>0</v>
      </c>
      <c r="J36" s="73">
        <f>SUM(H36*I36)</f>
        <v>0</v>
      </c>
      <c r="K36" s="62">
        <f>SUM(G36+J36)</f>
        <v>0</v>
      </c>
      <c r="M36" s="64" t="s">
        <v>183</v>
      </c>
      <c r="N36" s="72"/>
      <c r="O36" s="72"/>
      <c r="P36" s="60">
        <f t="shared" si="1"/>
        <v>0</v>
      </c>
      <c r="R36" s="47">
        <v>425</v>
      </c>
      <c r="Y36" s="626"/>
    </row>
    <row r="37" spans="1:25" ht="10.5" customHeight="1">
      <c r="A37" s="258"/>
      <c r="B37" s="259"/>
      <c r="C37" s="259"/>
      <c r="D37" s="259"/>
      <c r="E37" s="259"/>
      <c r="F37" s="259"/>
      <c r="G37" s="259"/>
      <c r="H37" s="82" t="s">
        <v>204</v>
      </c>
      <c r="I37" s="69" t="s">
        <v>181</v>
      </c>
      <c r="J37" s="70" t="s">
        <v>0</v>
      </c>
      <c r="K37" s="83"/>
      <c r="M37" s="64" t="s">
        <v>185</v>
      </c>
      <c r="N37" s="72"/>
      <c r="O37" s="72"/>
      <c r="P37" s="60">
        <f t="shared" si="1"/>
        <v>0</v>
      </c>
      <c r="R37" s="47">
        <v>450</v>
      </c>
      <c r="Y37" s="626"/>
    </row>
    <row r="38" spans="1:25" ht="10.5" customHeight="1">
      <c r="A38" s="590" t="s">
        <v>389</v>
      </c>
      <c r="B38" s="591"/>
      <c r="C38" s="591"/>
      <c r="D38" s="591"/>
      <c r="E38" s="591"/>
      <c r="F38" s="591"/>
      <c r="G38" s="592"/>
      <c r="H38" s="243">
        <v>0</v>
      </c>
      <c r="I38" s="245"/>
      <c r="J38" s="73">
        <f>SUM(H38*I38)</f>
        <v>0</v>
      </c>
      <c r="K38" s="62">
        <f>SUM(G38+J38)</f>
        <v>0</v>
      </c>
      <c r="M38" s="64" t="s">
        <v>187</v>
      </c>
      <c r="N38" s="72"/>
      <c r="O38" s="72"/>
      <c r="P38" s="60">
        <f t="shared" si="1"/>
        <v>0</v>
      </c>
      <c r="R38" s="47">
        <v>475</v>
      </c>
      <c r="Y38" s="626"/>
    </row>
    <row r="39" spans="1:25" ht="10.5" customHeight="1">
      <c r="A39" s="84"/>
      <c r="B39" s="84"/>
      <c r="C39" s="84"/>
      <c r="D39" s="84"/>
      <c r="E39" s="85"/>
      <c r="G39" s="86"/>
      <c r="H39" s="612" t="s">
        <v>205</v>
      </c>
      <c r="I39" s="613"/>
      <c r="J39" s="614"/>
      <c r="K39" s="67">
        <f>SUM(K33:K38)</f>
        <v>0</v>
      </c>
      <c r="M39" s="64" t="s">
        <v>189</v>
      </c>
      <c r="N39" s="72"/>
      <c r="O39" s="72"/>
      <c r="P39" s="60">
        <f t="shared" si="1"/>
        <v>0</v>
      </c>
      <c r="R39" s="47">
        <v>500</v>
      </c>
      <c r="Y39" s="626"/>
    </row>
    <row r="40" spans="1:25" ht="10.5" customHeight="1">
      <c r="A40" s="595" t="s">
        <v>206</v>
      </c>
      <c r="B40" s="595"/>
      <c r="C40" s="595"/>
      <c r="D40" s="595"/>
      <c r="E40" s="595"/>
      <c r="M40" s="64" t="s">
        <v>190</v>
      </c>
      <c r="N40" s="72"/>
      <c r="O40" s="72"/>
      <c r="P40" s="60">
        <f>SUM(P39+N40+O40)</f>
        <v>0</v>
      </c>
      <c r="Y40" s="626"/>
    </row>
    <row r="41" spans="1:25" ht="10.5" customHeight="1">
      <c r="A41" s="596"/>
      <c r="B41" s="596"/>
      <c r="C41" s="596"/>
      <c r="D41" s="596"/>
      <c r="E41" s="596"/>
      <c r="M41" s="64" t="s">
        <v>191</v>
      </c>
      <c r="N41" s="72"/>
      <c r="O41" s="72"/>
      <c r="P41" s="60">
        <f>SUM(P40+N41+O41)</f>
        <v>0</v>
      </c>
    </row>
    <row r="42" spans="1:25"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5" ht="10.5" customHeight="1">
      <c r="A43" s="64" t="s">
        <v>210</v>
      </c>
      <c r="B43" s="240">
        <v>20</v>
      </c>
      <c r="C43" s="72"/>
      <c r="D43" s="73">
        <f>SUM(B43*C43)</f>
        <v>0</v>
      </c>
      <c r="E43" s="241">
        <f>SUM(B43/2)</f>
        <v>10</v>
      </c>
      <c r="F43" s="245"/>
      <c r="G43" s="73">
        <f>SUM(E43*F43)</f>
        <v>0</v>
      </c>
      <c r="H43" s="615">
        <v>320</v>
      </c>
      <c r="I43" s="617"/>
      <c r="J43" s="619">
        <f>SUM(H43*I43)</f>
        <v>0</v>
      </c>
      <c r="K43" s="62">
        <f>SUM(J43,G43,D43)</f>
        <v>0</v>
      </c>
      <c r="M43" s="64" t="s">
        <v>193</v>
      </c>
      <c r="N43" s="72"/>
      <c r="O43" s="72"/>
      <c r="P43" s="60">
        <f>SUM(P42+N43+O43)</f>
        <v>0</v>
      </c>
    </row>
    <row r="44" spans="1:25" ht="10.5" customHeight="1">
      <c r="A44" s="64" t="s">
        <v>211</v>
      </c>
      <c r="B44" s="240">
        <v>20</v>
      </c>
      <c r="C44" s="72"/>
      <c r="D44" s="73">
        <f>SUM(B44*C44)</f>
        <v>0</v>
      </c>
      <c r="E44" s="593" t="s">
        <v>252</v>
      </c>
      <c r="F44" s="594"/>
      <c r="G44" s="87">
        <v>0</v>
      </c>
      <c r="H44" s="616"/>
      <c r="I44" s="618"/>
      <c r="J44" s="620"/>
      <c r="K44" s="62">
        <f>SUM(D44+G44+J44)</f>
        <v>0</v>
      </c>
      <c r="M44" s="64" t="s">
        <v>194</v>
      </c>
      <c r="N44" s="72"/>
      <c r="O44" s="72"/>
      <c r="P44" s="60">
        <f>SUM(P43+N44+O44)</f>
        <v>0</v>
      </c>
    </row>
    <row r="45" spans="1:25" ht="10.5" customHeight="1">
      <c r="H45" s="612" t="s">
        <v>212</v>
      </c>
      <c r="I45" s="613"/>
      <c r="J45" s="614"/>
      <c r="K45" s="67">
        <f>SUM(K43:K44)</f>
        <v>0</v>
      </c>
      <c r="M45" s="88" t="s">
        <v>162</v>
      </c>
      <c r="N45" s="88">
        <f>SUM(N34:N44)</f>
        <v>0</v>
      </c>
      <c r="O45" s="88">
        <f>SUM(O34:O44)</f>
        <v>0</v>
      </c>
      <c r="P45" s="81">
        <f>SUM(P44)</f>
        <v>0</v>
      </c>
    </row>
    <row r="46" spans="1:25" ht="10.5" customHeight="1">
      <c r="H46" s="612" t="s">
        <v>213</v>
      </c>
      <c r="I46" s="613"/>
      <c r="J46" s="614"/>
      <c r="K46" s="67">
        <f>SUM(K17+K28+K39+K45)</f>
        <v>0</v>
      </c>
    </row>
  </sheetData>
  <sheetProtection algorithmName="SHA-512" hashValue="+ncRr7u1MovmPXOpZA37nP1pPcSnUek0w4x3rNsfZCppFoVoXp3nJPZ8+pEAiOuWG7TkA0AIBuh7mkCbL8pEDw==" saltValue="L9hplrz5YfSmpLWztzBjwg==" spinCount="100000" sheet="1" objects="1" scenarios="1"/>
  <dataConsolidate/>
  <mergeCells count="48">
    <mergeCell ref="I3:P4"/>
    <mergeCell ref="Y1:Y40"/>
    <mergeCell ref="N14:O14"/>
    <mergeCell ref="H17:J17"/>
    <mergeCell ref="A10:O10"/>
    <mergeCell ref="C11:D11"/>
    <mergeCell ref="A23:D23"/>
    <mergeCell ref="E23:G23"/>
    <mergeCell ref="A24:G24"/>
    <mergeCell ref="A20:D20"/>
    <mergeCell ref="A38:G38"/>
    <mergeCell ref="H39:J39"/>
    <mergeCell ref="L2:P2"/>
    <mergeCell ref="A2:K2"/>
    <mergeCell ref="H28:J28"/>
    <mergeCell ref="A31:D31"/>
    <mergeCell ref="P31:P32"/>
    <mergeCell ref="H45:J45"/>
    <mergeCell ref="H46:J46"/>
    <mergeCell ref="H43:H44"/>
    <mergeCell ref="I43:I44"/>
    <mergeCell ref="J43:J44"/>
    <mergeCell ref="M31:M32"/>
    <mergeCell ref="N31:O31"/>
    <mergeCell ref="A29:E30"/>
    <mergeCell ref="E8:G8"/>
    <mergeCell ref="A8:D8"/>
    <mergeCell ref="M12:P13"/>
    <mergeCell ref="J8:L8"/>
    <mergeCell ref="J9:L9"/>
    <mergeCell ref="E9:G9"/>
    <mergeCell ref="A4:E4"/>
    <mergeCell ref="A27:G27"/>
    <mergeCell ref="A25:G25"/>
    <mergeCell ref="A26:G26"/>
    <mergeCell ref="A18:E19"/>
    <mergeCell ref="A9:D9"/>
    <mergeCell ref="A21:D21"/>
    <mergeCell ref="A22:D22"/>
    <mergeCell ref="A34:D34"/>
    <mergeCell ref="E44:F44"/>
    <mergeCell ref="A40:E41"/>
    <mergeCell ref="K31:K32"/>
    <mergeCell ref="A35:D35"/>
    <mergeCell ref="A36:D36"/>
    <mergeCell ref="E31:G31"/>
    <mergeCell ref="H31:J31"/>
    <mergeCell ref="A33:D33"/>
  </mergeCells>
  <phoneticPr fontId="52" type="noConversion"/>
  <dataValidations count="5">
    <dataValidation type="list" allowBlank="1" showInputMessage="1" showErrorMessage="1" sqref="C11:D11" xr:uid="{00000000-0002-0000-0400-000000000000}">
      <formula1>$Q$20:$T$20</formula1>
    </dataValidation>
    <dataValidation type="whole" operator="lessThan" allowBlank="1" showInputMessage="1" showErrorMessage="1" error="Prise en charge à concurrence de 11 mois maximum" sqref="I38" xr:uid="{00000000-0002-0000-0400-000001000000}">
      <formula1>12</formula1>
    </dataValidation>
    <dataValidation type="whole" operator="lessThan" allowBlank="1" showInputMessage="1" showErrorMessage="1" error="Prise en charge à concurrence de 11 mois par an maximum" sqref="I43:I44" xr:uid="{00000000-0002-0000-0400-000002000000}">
      <formula1>12</formula1>
    </dataValidation>
    <dataValidation type="whole" allowBlank="1" showInputMessage="1" showErrorMessage="1" error="Vous devez saisir un nombre entier" sqref="P8" xr:uid="{00000000-0002-0000-0400-000003000000}">
      <formula1>0</formula1>
      <formula2>1000</formula2>
    </dataValidation>
    <dataValidation type="whole" operator="greaterThanOrEqual" allowBlank="1" showInputMessage="1" showErrorMessage="1" sqref="P9" xr:uid="{00000000-0002-0000-0400-000004000000}">
      <formula1>0</formula1>
    </dataValidation>
  </dataValidations>
  <hyperlinks>
    <hyperlink ref="K11" r:id="rId1" xr:uid="{00000000-0004-0000-0400-000000000000}"/>
    <hyperlink ref="F30" r:id="rId2" xr:uid="{00000000-0004-0000-04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AJ46"/>
  <sheetViews>
    <sheetView topLeftCell="D2" zoomScale="85" zoomScaleNormal="85" workbookViewId="0">
      <selection activeCell="H15" sqref="H15"/>
    </sheetView>
  </sheetViews>
  <sheetFormatPr baseColWidth="10" defaultColWidth="11.44140625" defaultRowHeight="10.199999999999999"/>
  <cols>
    <col min="1" max="1" width="8.77734375" style="47" customWidth="1"/>
    <col min="2" max="10" width="9.77734375" style="47" customWidth="1"/>
    <col min="11" max="11" width="11.77734375" style="47" customWidth="1"/>
    <col min="12" max="12" width="4.77734375" style="47" customWidth="1"/>
    <col min="13" max="13" width="9.77734375" style="47" customWidth="1"/>
    <col min="14" max="14" width="6.5546875" style="47" customWidth="1"/>
    <col min="15" max="16" width="7.21875" style="47" customWidth="1"/>
    <col min="17" max="20" width="11.77734375" style="47" hidden="1" customWidth="1"/>
    <col min="21" max="21" width="123.77734375" style="47" customWidth="1"/>
    <col min="22" max="16384" width="11.441406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626" t="s">
        <v>506</v>
      </c>
    </row>
    <row r="2" spans="1:36" s="11" customFormat="1" ht="22.5" customHeight="1">
      <c r="A2" s="471" t="s">
        <v>216</v>
      </c>
      <c r="B2" s="471"/>
      <c r="C2" s="471"/>
      <c r="D2" s="471"/>
      <c r="E2" s="471"/>
      <c r="F2" s="471"/>
      <c r="G2" s="471"/>
      <c r="H2" s="471"/>
      <c r="I2" s="471"/>
      <c r="J2" s="471"/>
      <c r="K2" s="471"/>
      <c r="L2" s="471" t="s">
        <v>410</v>
      </c>
      <c r="M2" s="471"/>
      <c r="N2" s="471"/>
      <c r="O2" s="471"/>
      <c r="P2" s="471"/>
      <c r="U2" s="626"/>
    </row>
    <row r="3" spans="1:36" ht="15" customHeight="1">
      <c r="A3" s="275" t="str">
        <f>IF(DAPEC!A3="SELECTIONNER VOTRE ETABLISSEMENT DANS LA LISTE","Sélectionner votre établissement onglet DAPEC ligne 3",DAPEC!A3)</f>
        <v>Sélectionner votre établissement onglet DAPEC ligne 3</v>
      </c>
      <c r="B3" s="275"/>
      <c r="C3" s="275"/>
      <c r="D3" s="275"/>
      <c r="E3" s="275"/>
      <c r="F3" s="42"/>
      <c r="G3" s="42"/>
      <c r="H3" s="42"/>
      <c r="I3" s="630" t="str">
        <f>IF('Déplacement 2025'!I3="Vous avez choisi le forfait mensuel, vous devez utiliser l'onglet précédent","",IF(DAPEC!B11="","Renseigner le nom de l'agent onglet DAPEC ligne 11",DAPEC!B11))</f>
        <v>Renseigner le nom de l'agent onglet DAPEC ligne 11</v>
      </c>
      <c r="J3" s="630"/>
      <c r="K3" s="630"/>
      <c r="L3" s="630"/>
      <c r="M3" s="630"/>
      <c r="N3" s="630"/>
      <c r="O3" s="630"/>
      <c r="P3" s="630"/>
      <c r="U3" s="626"/>
    </row>
    <row r="4" spans="1:36" ht="15" customHeight="1">
      <c r="A4" s="595" t="s">
        <v>421</v>
      </c>
      <c r="B4" s="595"/>
      <c r="C4" s="595"/>
      <c r="D4" s="595"/>
      <c r="E4" s="595"/>
      <c r="F4" s="42"/>
      <c r="G4" s="42"/>
      <c r="H4" s="42"/>
      <c r="I4" s="630"/>
      <c r="J4" s="630"/>
      <c r="K4" s="630"/>
      <c r="L4" s="630"/>
      <c r="M4" s="630"/>
      <c r="N4" s="630"/>
      <c r="O4" s="630"/>
      <c r="P4" s="630"/>
      <c r="U4" s="626"/>
    </row>
    <row r="5" spans="1:36" ht="10.5" customHeight="1">
      <c r="A5" s="47" t="s">
        <v>422</v>
      </c>
      <c r="U5" s="626"/>
    </row>
    <row r="6" spans="1:36" ht="10.5" customHeight="1">
      <c r="A6" s="47" t="s">
        <v>423</v>
      </c>
      <c r="Q6" s="53"/>
      <c r="R6" s="53"/>
      <c r="S6" s="53"/>
      <c r="T6" s="53"/>
      <c r="U6" s="626"/>
      <c r="V6" s="54"/>
      <c r="W6" s="54"/>
      <c r="X6" s="54"/>
      <c r="Y6" s="54"/>
      <c r="Z6" s="54"/>
      <c r="AA6" s="54"/>
      <c r="AB6" s="54"/>
      <c r="AC6" s="54"/>
      <c r="AD6" s="54"/>
      <c r="AE6" s="54"/>
      <c r="AF6" s="54"/>
      <c r="AG6" s="54"/>
      <c r="AH6" s="54"/>
      <c r="AI6" s="54"/>
      <c r="AJ6" s="54"/>
    </row>
    <row r="7" spans="1:36" ht="10.5" customHeight="1">
      <c r="A7" s="47" t="s">
        <v>424</v>
      </c>
      <c r="Q7" s="53"/>
      <c r="R7" s="53"/>
      <c r="S7" s="53"/>
      <c r="T7" s="53"/>
      <c r="U7" s="626"/>
    </row>
    <row r="8" spans="1:36" ht="10.5" customHeight="1">
      <c r="A8" s="602" t="s">
        <v>463</v>
      </c>
      <c r="B8" s="602"/>
      <c r="C8" s="602"/>
      <c r="D8" s="602"/>
      <c r="E8" s="631" t="str">
        <f>IF('Déplacement 2025'!E8="","",'Déplacement 2025'!E8)</f>
        <v/>
      </c>
      <c r="F8" s="631"/>
      <c r="G8" s="631"/>
      <c r="H8" s="54"/>
      <c r="I8" s="342" t="s">
        <v>461</v>
      </c>
      <c r="J8" s="631" t="str">
        <f>IF('Déplacement 2025'!J8="","",'Déplacement 2025'!J8)</f>
        <v/>
      </c>
      <c r="K8" s="631"/>
      <c r="L8" s="631"/>
      <c r="O8" s="342" t="s">
        <v>464</v>
      </c>
      <c r="P8" s="276">
        <f>IF('Déplacement 2025'!P8="","",'Déplacement 2025'!P8)</f>
        <v>0</v>
      </c>
      <c r="U8" s="626"/>
    </row>
    <row r="9" spans="1:36" ht="10.5" customHeight="1">
      <c r="A9" s="602" t="s">
        <v>462</v>
      </c>
      <c r="B9" s="602"/>
      <c r="C9" s="602"/>
      <c r="D9" s="602"/>
      <c r="E9" s="631" t="str">
        <f>IF('Déplacement 2025'!E9="","",'Déplacement 2025'!E9)</f>
        <v/>
      </c>
      <c r="F9" s="631"/>
      <c r="G9" s="631"/>
      <c r="H9" s="54"/>
      <c r="I9" s="342" t="s">
        <v>461</v>
      </c>
      <c r="J9" s="631" t="str">
        <f>IF('Déplacement 2025'!J9="","",'Déplacement 2025'!J9)</f>
        <v/>
      </c>
      <c r="K9" s="631"/>
      <c r="L9" s="631"/>
      <c r="O9" s="342" t="s">
        <v>464</v>
      </c>
      <c r="P9" s="276">
        <f>IF('Déplacement 2025'!P9="","",'Déplacement 2025'!P9)</f>
        <v>0</v>
      </c>
      <c r="U9" s="626"/>
    </row>
    <row r="10" spans="1:36" ht="10.5" customHeight="1">
      <c r="A10" s="602" t="s">
        <v>426</v>
      </c>
      <c r="B10" s="602"/>
      <c r="C10" s="602"/>
      <c r="D10" s="602"/>
      <c r="E10" s="602"/>
      <c r="F10" s="602"/>
      <c r="G10" s="602"/>
      <c r="H10" s="602"/>
      <c r="I10" s="602"/>
      <c r="J10" s="602"/>
      <c r="K10" s="602"/>
      <c r="L10" s="602"/>
      <c r="M10" s="602"/>
      <c r="N10" s="602"/>
      <c r="O10" s="602"/>
      <c r="P10" s="276">
        <f>'Déplacement 2025'!P10</f>
        <v>0</v>
      </c>
      <c r="U10" s="626"/>
    </row>
    <row r="11" spans="1:36" ht="10.5" customHeight="1">
      <c r="A11" s="48" t="s">
        <v>250</v>
      </c>
      <c r="B11" s="48"/>
      <c r="C11" s="596" t="str">
        <f>('Déplacement 2025'!C11)</f>
        <v>Choisir</v>
      </c>
      <c r="D11" s="596"/>
      <c r="E11" s="47" t="s">
        <v>157</v>
      </c>
      <c r="G11" s="268"/>
      <c r="K11" s="261" t="s">
        <v>409</v>
      </c>
      <c r="L11" s="84"/>
      <c r="M11" s="84"/>
      <c r="N11" s="84"/>
      <c r="O11" s="84"/>
      <c r="P11" s="84"/>
      <c r="U11" s="626"/>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0"/>
      <c r="M12" s="604" t="s">
        <v>163</v>
      </c>
      <c r="N12" s="605"/>
      <c r="O12" s="605"/>
      <c r="P12" s="606"/>
      <c r="U12" s="626"/>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0"/>
      <c r="M13" s="607"/>
      <c r="N13" s="608"/>
      <c r="O13" s="608"/>
      <c r="P13" s="609"/>
      <c r="U13" s="626"/>
    </row>
    <row r="14" spans="1:36" ht="10.5" customHeight="1">
      <c r="A14" s="59" t="s">
        <v>169</v>
      </c>
      <c r="B14" s="240">
        <v>0.32</v>
      </c>
      <c r="C14" s="60" t="str">
        <f>IF(C11=A14,Q21,"")</f>
        <v/>
      </c>
      <c r="D14" s="61" t="str">
        <f>IF(C14="","0,00 €",B14*C14)</f>
        <v>0,00 €</v>
      </c>
      <c r="E14" s="241">
        <v>0.4</v>
      </c>
      <c r="F14" s="60" t="str">
        <f>IF(C11=A14,R21,"")</f>
        <v/>
      </c>
      <c r="G14" s="61" t="str">
        <f>IF(F14="","0,00 €",E14*F14)</f>
        <v>0,00 €</v>
      </c>
      <c r="H14" s="241">
        <v>0.23</v>
      </c>
      <c r="I14" s="60" t="str">
        <f>IF(C11=A14,S21,"")</f>
        <v/>
      </c>
      <c r="J14" s="61" t="str">
        <f>IF(I14="","0,00 €",H14*I14)</f>
        <v>0,00 €</v>
      </c>
      <c r="K14" s="269">
        <f>SUM(J14,G14,D14)</f>
        <v>0</v>
      </c>
      <c r="L14" s="271"/>
      <c r="M14" s="49" t="s">
        <v>170</v>
      </c>
      <c r="N14" s="627" t="s">
        <v>159</v>
      </c>
      <c r="O14" s="628"/>
      <c r="P14" s="49" t="s">
        <v>171</v>
      </c>
      <c r="U14" s="626"/>
    </row>
    <row r="15" spans="1:36" ht="10.5" customHeight="1">
      <c r="A15" s="59" t="s">
        <v>172</v>
      </c>
      <c r="B15" s="240">
        <v>0.41</v>
      </c>
      <c r="C15" s="60" t="str">
        <f>IF(C11=A15,Q21,"")</f>
        <v/>
      </c>
      <c r="D15" s="61" t="str">
        <f>IF(C15="","0,00 €",B15*C15)</f>
        <v>0,00 €</v>
      </c>
      <c r="E15" s="241">
        <v>0.51</v>
      </c>
      <c r="F15" s="60" t="str">
        <f>IF(C11=A15,R21,"")</f>
        <v/>
      </c>
      <c r="G15" s="61" t="str">
        <f>IF(F15="","0,00 €",E15*F15)</f>
        <v>0,00 €</v>
      </c>
      <c r="H15" s="241">
        <v>0.3</v>
      </c>
      <c r="I15" s="60" t="str">
        <f>IF(C11=A15,S21,"")</f>
        <v/>
      </c>
      <c r="J15" s="61" t="str">
        <f>IF(I15="","0,00 €",H15*I15)</f>
        <v>0,00 €</v>
      </c>
      <c r="K15" s="269">
        <f>SUM(J15,G15,D15)</f>
        <v>0</v>
      </c>
      <c r="L15" s="271"/>
      <c r="M15" s="55"/>
      <c r="N15" s="270" t="s">
        <v>173</v>
      </c>
      <c r="O15" s="270" t="s">
        <v>174</v>
      </c>
      <c r="P15" s="55"/>
      <c r="Q15" s="53"/>
      <c r="R15" s="53"/>
      <c r="S15" s="53"/>
      <c r="T15" s="53"/>
      <c r="U15" s="626"/>
      <c r="V15" s="77"/>
      <c r="W15" s="77"/>
      <c r="X15" s="77"/>
      <c r="Y15" s="77"/>
      <c r="Z15" s="77"/>
      <c r="AA15" s="77"/>
      <c r="AB15" s="77"/>
      <c r="AC15" s="77"/>
      <c r="AD15" s="77"/>
      <c r="AE15" s="77"/>
      <c r="AF15" s="77"/>
      <c r="AG15" s="77"/>
      <c r="AH15" s="77"/>
      <c r="AI15" s="77"/>
    </row>
    <row r="16" spans="1:36" ht="10.5" customHeight="1">
      <c r="A16" s="59" t="s">
        <v>175</v>
      </c>
      <c r="B16" s="240">
        <v>0.45</v>
      </c>
      <c r="C16" s="60" t="str">
        <f>IF(C11=A16,Q21,"")</f>
        <v/>
      </c>
      <c r="D16" s="61" t="str">
        <f>IF(C16="","0,00 €",B16*C16)</f>
        <v>0,00 €</v>
      </c>
      <c r="E16" s="241">
        <v>0.55000000000000004</v>
      </c>
      <c r="F16" s="60" t="str">
        <f>IF(C11=A16,R21,"")</f>
        <v/>
      </c>
      <c r="G16" s="61" t="str">
        <f>IF(F16="","0,00 €",E16*F16)</f>
        <v>0,00 €</v>
      </c>
      <c r="H16" s="242">
        <v>0.32</v>
      </c>
      <c r="I16" s="63" t="str">
        <f>IF(C11=A16,S21,"")</f>
        <v/>
      </c>
      <c r="J16" s="61" t="str">
        <f>IF(I16="","0,00 €",H16*I16)</f>
        <v>0,00 €</v>
      </c>
      <c r="K16" s="269">
        <f>SUM(J16,G16,D16)</f>
        <v>0</v>
      </c>
      <c r="L16" s="271"/>
      <c r="M16" s="64" t="s">
        <v>176</v>
      </c>
      <c r="N16" s="65"/>
      <c r="O16" s="66">
        <f>SUM(P10*N16)</f>
        <v>0</v>
      </c>
      <c r="P16" s="60">
        <f>SUM(O16)</f>
        <v>0</v>
      </c>
      <c r="Q16" s="47" t="s">
        <v>249</v>
      </c>
      <c r="U16" s="626"/>
    </row>
    <row r="17" spans="1:21" ht="10.5" customHeight="1">
      <c r="A17" s="271"/>
      <c r="B17" s="271"/>
      <c r="C17" s="271"/>
      <c r="D17" s="271"/>
      <c r="E17" s="271"/>
      <c r="F17" s="271"/>
      <c r="G17" s="271"/>
      <c r="H17" s="612" t="s">
        <v>177</v>
      </c>
      <c r="I17" s="613"/>
      <c r="J17" s="614"/>
      <c r="K17" s="67">
        <f>SUM(K14:K16)</f>
        <v>0</v>
      </c>
      <c r="L17" s="271"/>
      <c r="M17" s="64" t="s">
        <v>178</v>
      </c>
      <c r="N17" s="65"/>
      <c r="O17" s="66">
        <f>SUM(P10*N17)</f>
        <v>0</v>
      </c>
      <c r="P17" s="60">
        <f>SUM(P16+O17)</f>
        <v>0</v>
      </c>
      <c r="U17" s="626"/>
    </row>
    <row r="18" spans="1:21" ht="10.5" customHeight="1">
      <c r="A18" s="595" t="s">
        <v>251</v>
      </c>
      <c r="B18" s="595"/>
      <c r="C18" s="595"/>
      <c r="D18" s="595"/>
      <c r="E18" s="595"/>
      <c r="M18" s="64" t="s">
        <v>179</v>
      </c>
      <c r="N18" s="65"/>
      <c r="O18" s="66">
        <f>SUM(P10*N18)</f>
        <v>0</v>
      </c>
      <c r="P18" s="60">
        <f t="shared" ref="P18:P27" si="0">SUM(P17+O18)</f>
        <v>0</v>
      </c>
      <c r="U18" s="626"/>
    </row>
    <row r="19" spans="1:21" ht="10.5" customHeight="1">
      <c r="A19" s="596"/>
      <c r="B19" s="596"/>
      <c r="C19" s="596"/>
      <c r="D19" s="596"/>
      <c r="E19" s="596"/>
      <c r="M19" s="64" t="s">
        <v>183</v>
      </c>
      <c r="N19" s="65"/>
      <c r="O19" s="66">
        <f>SUM(P10*N19)</f>
        <v>0</v>
      </c>
      <c r="P19" s="60">
        <f t="shared" si="0"/>
        <v>0</v>
      </c>
      <c r="U19" s="626"/>
    </row>
    <row r="20" spans="1:21" ht="10.5" customHeight="1">
      <c r="A20" s="623"/>
      <c r="B20" s="600"/>
      <c r="C20" s="600"/>
      <c r="D20" s="60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626"/>
    </row>
    <row r="21" spans="1:21" ht="10.5" customHeight="1">
      <c r="A21" s="590" t="s">
        <v>184</v>
      </c>
      <c r="B21" s="591"/>
      <c r="C21" s="591"/>
      <c r="D21" s="592"/>
      <c r="E21" s="243">
        <v>0</v>
      </c>
      <c r="F21" s="72"/>
      <c r="G21" s="73">
        <f>SUM(E21*F21)</f>
        <v>0</v>
      </c>
      <c r="H21" s="243">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626"/>
    </row>
    <row r="22" spans="1:21" ht="10.5" customHeight="1">
      <c r="A22" s="590" t="s">
        <v>186</v>
      </c>
      <c r="B22" s="591"/>
      <c r="C22" s="591"/>
      <c r="D22" s="592"/>
      <c r="E22" s="243">
        <v>0</v>
      </c>
      <c r="F22" s="72"/>
      <c r="G22" s="73">
        <f>SUM(E22*F22)</f>
        <v>0</v>
      </c>
      <c r="H22" s="243">
        <v>0</v>
      </c>
      <c r="I22" s="72"/>
      <c r="J22" s="73">
        <f>SUM(H22*I22)</f>
        <v>0</v>
      </c>
      <c r="K22" s="62">
        <f>SUM(D22+G22+J22)</f>
        <v>0</v>
      </c>
      <c r="M22" s="64" t="s">
        <v>189</v>
      </c>
      <c r="N22" s="65"/>
      <c r="O22" s="66">
        <f>SUM(P10*N22)</f>
        <v>0</v>
      </c>
      <c r="P22" s="60">
        <f t="shared" si="0"/>
        <v>0</v>
      </c>
      <c r="U22" s="626"/>
    </row>
    <row r="23" spans="1:21" ht="10.5" customHeight="1">
      <c r="A23" s="623"/>
      <c r="B23" s="600"/>
      <c r="C23" s="600"/>
      <c r="D23" s="600"/>
      <c r="E23" s="600"/>
      <c r="F23" s="600"/>
      <c r="G23" s="601"/>
      <c r="H23" s="74" t="s">
        <v>188</v>
      </c>
      <c r="I23" s="64" t="s">
        <v>181</v>
      </c>
      <c r="J23" s="75" t="s">
        <v>0</v>
      </c>
      <c r="K23" s="76"/>
      <c r="M23" s="64" t="s">
        <v>190</v>
      </c>
      <c r="N23" s="65"/>
      <c r="O23" s="66">
        <f>SUM(P10*N23)</f>
        <v>0</v>
      </c>
      <c r="P23" s="60">
        <f t="shared" si="0"/>
        <v>0</v>
      </c>
      <c r="U23" s="626"/>
    </row>
    <row r="24" spans="1:21" ht="10.5" customHeight="1">
      <c r="A24" s="590" t="s">
        <v>425</v>
      </c>
      <c r="B24" s="591"/>
      <c r="C24" s="591"/>
      <c r="D24" s="591"/>
      <c r="E24" s="591"/>
      <c r="F24" s="591"/>
      <c r="G24" s="592"/>
      <c r="H24" s="244">
        <v>0</v>
      </c>
      <c r="I24" s="72"/>
      <c r="J24" s="73">
        <f>SUM(H24*I24)</f>
        <v>0</v>
      </c>
      <c r="K24" s="62">
        <f>SUM(J24)</f>
        <v>0</v>
      </c>
      <c r="M24" s="64" t="s">
        <v>191</v>
      </c>
      <c r="N24" s="65"/>
      <c r="O24" s="66">
        <f>SUM(P10*N24)</f>
        <v>0</v>
      </c>
      <c r="P24" s="60">
        <f t="shared" si="0"/>
        <v>0</v>
      </c>
      <c r="U24" s="626"/>
    </row>
    <row r="25" spans="1:21" ht="10.5" customHeight="1">
      <c r="A25" s="590" t="s">
        <v>196</v>
      </c>
      <c r="B25" s="591"/>
      <c r="C25" s="591"/>
      <c r="D25" s="591"/>
      <c r="E25" s="591"/>
      <c r="F25" s="591"/>
      <c r="G25" s="592"/>
      <c r="H25" s="244">
        <v>0</v>
      </c>
      <c r="I25" s="72"/>
      <c r="J25" s="73">
        <f>SUM(H25*I25)</f>
        <v>0</v>
      </c>
      <c r="K25" s="62">
        <f>SUM(J25)</f>
        <v>0</v>
      </c>
      <c r="M25" s="64" t="s">
        <v>192</v>
      </c>
      <c r="N25" s="65"/>
      <c r="O25" s="66">
        <f>SUM(P10*N25)</f>
        <v>0</v>
      </c>
      <c r="P25" s="60">
        <f t="shared" si="0"/>
        <v>0</v>
      </c>
      <c r="U25" s="626"/>
    </row>
    <row r="26" spans="1:21" ht="10.5" customHeight="1">
      <c r="A26" s="590" t="s">
        <v>195</v>
      </c>
      <c r="B26" s="591"/>
      <c r="C26" s="591"/>
      <c r="D26" s="591"/>
      <c r="E26" s="591"/>
      <c r="F26" s="591"/>
      <c r="G26" s="592"/>
      <c r="H26" s="244">
        <v>0</v>
      </c>
      <c r="I26" s="72"/>
      <c r="J26" s="73">
        <f>SUM(H26*I26)</f>
        <v>0</v>
      </c>
      <c r="K26" s="62">
        <f>SUM(J26)</f>
        <v>0</v>
      </c>
      <c r="M26" s="64" t="s">
        <v>193</v>
      </c>
      <c r="N26" s="65"/>
      <c r="O26" s="66">
        <f>SUM(P10*N26)</f>
        <v>0</v>
      </c>
      <c r="P26" s="60">
        <f t="shared" si="0"/>
        <v>0</v>
      </c>
      <c r="U26" s="626"/>
    </row>
    <row r="27" spans="1:21" ht="10.5" customHeight="1">
      <c r="A27" s="590" t="s">
        <v>197</v>
      </c>
      <c r="B27" s="591"/>
      <c r="C27" s="591"/>
      <c r="D27" s="591"/>
      <c r="E27" s="591"/>
      <c r="F27" s="591"/>
      <c r="G27" s="592"/>
      <c r="H27" s="244">
        <v>0</v>
      </c>
      <c r="I27" s="72"/>
      <c r="J27" s="73">
        <f>SUM(H27*I27)</f>
        <v>0</v>
      </c>
      <c r="K27" s="62">
        <f>SUM(J27)</f>
        <v>0</v>
      </c>
      <c r="M27" s="64" t="s">
        <v>194</v>
      </c>
      <c r="N27" s="65"/>
      <c r="O27" s="66">
        <f>SUM(P10*N27)</f>
        <v>0</v>
      </c>
      <c r="P27" s="60">
        <f t="shared" si="0"/>
        <v>0</v>
      </c>
      <c r="U27" s="626"/>
    </row>
    <row r="28" spans="1:21" ht="10.5" customHeight="1">
      <c r="H28" s="612" t="s">
        <v>198</v>
      </c>
      <c r="I28" s="613"/>
      <c r="J28" s="614"/>
      <c r="K28" s="67">
        <f>SUM(K21:K27)</f>
        <v>0</v>
      </c>
      <c r="M28" s="78" t="s">
        <v>162</v>
      </c>
      <c r="N28" s="79">
        <f>SUM(N16:N27)</f>
        <v>0</v>
      </c>
      <c r="O28" s="80">
        <f>SUM(O16:O27)</f>
        <v>0</v>
      </c>
      <c r="P28" s="81">
        <f>SUM(P27)</f>
        <v>0</v>
      </c>
      <c r="U28" s="626"/>
    </row>
    <row r="29" spans="1:21" ht="10.5" customHeight="1">
      <c r="A29" s="595" t="s">
        <v>199</v>
      </c>
      <c r="B29" s="595"/>
      <c r="C29" s="595"/>
      <c r="D29" s="595"/>
      <c r="E29" s="595"/>
      <c r="U29" s="626"/>
    </row>
    <row r="30" spans="1:21" ht="10.5" customHeight="1">
      <c r="A30" s="596"/>
      <c r="B30" s="596"/>
      <c r="C30" s="596"/>
      <c r="D30" s="596"/>
      <c r="E30" s="596"/>
      <c r="F30" s="272" t="s">
        <v>476</v>
      </c>
      <c r="G30" s="48"/>
      <c r="H30" s="48"/>
      <c r="I30" s="48"/>
      <c r="J30" s="48"/>
      <c r="K30" s="48"/>
      <c r="U30" s="626"/>
    </row>
    <row r="31" spans="1:21" ht="10.5" customHeight="1">
      <c r="A31" s="623"/>
      <c r="B31" s="600"/>
      <c r="C31" s="600"/>
      <c r="D31" s="601"/>
      <c r="E31" s="599" t="s">
        <v>200</v>
      </c>
      <c r="F31" s="600"/>
      <c r="G31" s="601"/>
      <c r="H31" s="599" t="s">
        <v>201</v>
      </c>
      <c r="I31" s="600"/>
      <c r="J31" s="601"/>
      <c r="K31" s="597" t="s">
        <v>162</v>
      </c>
      <c r="M31" s="621" t="s">
        <v>170</v>
      </c>
      <c r="N31" s="623" t="s">
        <v>203</v>
      </c>
      <c r="O31" s="624"/>
      <c r="P31" s="610" t="s">
        <v>171</v>
      </c>
      <c r="U31" s="626"/>
    </row>
    <row r="32" spans="1:21" ht="10.5" customHeight="1">
      <c r="A32" s="263"/>
      <c r="B32" s="260"/>
      <c r="C32" s="260"/>
      <c r="D32" s="262"/>
      <c r="E32" s="68" t="s">
        <v>202</v>
      </c>
      <c r="F32" s="69" t="s">
        <v>181</v>
      </c>
      <c r="G32" s="70" t="s">
        <v>0</v>
      </c>
      <c r="H32" s="68" t="s">
        <v>202</v>
      </c>
      <c r="I32" s="69" t="s">
        <v>181</v>
      </c>
      <c r="J32" s="70" t="s">
        <v>0</v>
      </c>
      <c r="K32" s="598"/>
      <c r="M32" s="622"/>
      <c r="N32" s="64" t="s">
        <v>217</v>
      </c>
      <c r="O32" s="64" t="s">
        <v>218</v>
      </c>
      <c r="P32" s="611"/>
      <c r="U32" s="626"/>
    </row>
    <row r="33" spans="1:21" ht="10.5" customHeight="1">
      <c r="A33" s="590" t="s">
        <v>323</v>
      </c>
      <c r="B33" s="591"/>
      <c r="C33" s="591"/>
      <c r="D33" s="592"/>
      <c r="E33" s="241">
        <f>SUM(H33/2)</f>
        <v>60</v>
      </c>
      <c r="F33" s="245">
        <v>0</v>
      </c>
      <c r="G33" s="73">
        <f>SUM(E33*F33)</f>
        <v>0</v>
      </c>
      <c r="H33" s="241">
        <v>120</v>
      </c>
      <c r="I33" s="245">
        <v>0</v>
      </c>
      <c r="J33" s="73">
        <f>SUM(H33*I33)</f>
        <v>0</v>
      </c>
      <c r="K33" s="62">
        <f>SUM(G33+J33)</f>
        <v>0</v>
      </c>
      <c r="M33" s="64" t="s">
        <v>176</v>
      </c>
      <c r="N33" s="72"/>
      <c r="O33" s="72"/>
      <c r="P33" s="60">
        <f>SUM(N33:O33)</f>
        <v>0</v>
      </c>
      <c r="U33" s="626"/>
    </row>
    <row r="34" spans="1:21" ht="10.5" customHeight="1">
      <c r="A34" s="590" t="s">
        <v>324</v>
      </c>
      <c r="B34" s="591"/>
      <c r="C34" s="591"/>
      <c r="D34" s="592"/>
      <c r="E34" s="241">
        <f>SUM(H34/2)</f>
        <v>54</v>
      </c>
      <c r="F34" s="245">
        <v>0</v>
      </c>
      <c r="G34" s="73">
        <f>SUM(E34*F34)</f>
        <v>0</v>
      </c>
      <c r="H34" s="241">
        <f>SUM(H33)-(H33*10%)</f>
        <v>108</v>
      </c>
      <c r="I34" s="245">
        <v>0</v>
      </c>
      <c r="J34" s="73">
        <f>SUM(H34*I34)</f>
        <v>0</v>
      </c>
      <c r="K34" s="62">
        <f>SUM(G34+J34)</f>
        <v>0</v>
      </c>
      <c r="M34" s="64" t="s">
        <v>178</v>
      </c>
      <c r="N34" s="72"/>
      <c r="O34" s="72"/>
      <c r="P34" s="60">
        <f>SUM(P33+N34+O34)</f>
        <v>0</v>
      </c>
      <c r="U34" s="626"/>
    </row>
    <row r="35" spans="1:21" ht="10.5" customHeight="1">
      <c r="A35" s="590" t="s">
        <v>325</v>
      </c>
      <c r="B35" s="591"/>
      <c r="C35" s="591"/>
      <c r="D35" s="592"/>
      <c r="E35" s="241">
        <f>SUM(H35/2)</f>
        <v>48</v>
      </c>
      <c r="F35" s="245">
        <v>0</v>
      </c>
      <c r="G35" s="73">
        <f>SUM(E35*F35)</f>
        <v>0</v>
      </c>
      <c r="H35" s="241">
        <f>SUM(H33)-(H33*20%)</f>
        <v>96</v>
      </c>
      <c r="I35" s="245">
        <v>0</v>
      </c>
      <c r="J35" s="73">
        <f>SUM(H35*I35)</f>
        <v>0</v>
      </c>
      <c r="K35" s="62">
        <f>SUM(G35+J35)</f>
        <v>0</v>
      </c>
      <c r="M35" s="64" t="s">
        <v>179</v>
      </c>
      <c r="N35" s="72"/>
      <c r="O35" s="72"/>
      <c r="P35" s="60">
        <f t="shared" ref="P35:P39" si="1">SUM(P34+N35+O35)</f>
        <v>0</v>
      </c>
      <c r="U35" s="626"/>
    </row>
    <row r="36" spans="1:21" ht="10.5" customHeight="1">
      <c r="A36" s="590" t="s">
        <v>326</v>
      </c>
      <c r="B36" s="591"/>
      <c r="C36" s="591"/>
      <c r="D36" s="592"/>
      <c r="E36" s="241">
        <f>SUM(H36/2)</f>
        <v>36</v>
      </c>
      <c r="F36" s="245">
        <v>0</v>
      </c>
      <c r="G36" s="73">
        <f>SUM(E36*F36)</f>
        <v>0</v>
      </c>
      <c r="H36" s="241">
        <f>SUM(H33)-(H33*40%)</f>
        <v>72</v>
      </c>
      <c r="I36" s="245">
        <v>0</v>
      </c>
      <c r="J36" s="73">
        <f>SUM(H36*I36)</f>
        <v>0</v>
      </c>
      <c r="K36" s="62">
        <f>SUM(G36+J36)</f>
        <v>0</v>
      </c>
      <c r="M36" s="64" t="s">
        <v>183</v>
      </c>
      <c r="N36" s="72"/>
      <c r="O36" s="72"/>
      <c r="P36" s="60">
        <f t="shared" si="1"/>
        <v>0</v>
      </c>
      <c r="U36" s="626"/>
    </row>
    <row r="37" spans="1:21" ht="10.5" customHeight="1">
      <c r="A37" s="258"/>
      <c r="B37" s="259"/>
      <c r="C37" s="259"/>
      <c r="D37" s="259"/>
      <c r="E37" s="259"/>
      <c r="F37" s="259"/>
      <c r="G37" s="259"/>
      <c r="H37" s="82" t="s">
        <v>204</v>
      </c>
      <c r="I37" s="69" t="s">
        <v>181</v>
      </c>
      <c r="J37" s="70" t="s">
        <v>0</v>
      </c>
      <c r="K37" s="83"/>
      <c r="M37" s="64" t="s">
        <v>185</v>
      </c>
      <c r="N37" s="72"/>
      <c r="O37" s="72"/>
      <c r="P37" s="60">
        <f t="shared" si="1"/>
        <v>0</v>
      </c>
      <c r="U37" s="626"/>
    </row>
    <row r="38" spans="1:21" ht="10.5" customHeight="1">
      <c r="A38" s="590" t="s">
        <v>389</v>
      </c>
      <c r="B38" s="591"/>
      <c r="C38" s="591"/>
      <c r="D38" s="591"/>
      <c r="E38" s="591"/>
      <c r="F38" s="591"/>
      <c r="G38" s="592"/>
      <c r="H38" s="243">
        <v>0</v>
      </c>
      <c r="I38" s="245">
        <v>0</v>
      </c>
      <c r="J38" s="73">
        <f>SUM(H38*I38)</f>
        <v>0</v>
      </c>
      <c r="K38" s="62">
        <f>SUM(G38+J38)</f>
        <v>0</v>
      </c>
      <c r="M38" s="64" t="s">
        <v>187</v>
      </c>
      <c r="N38" s="72"/>
      <c r="O38" s="72"/>
      <c r="P38" s="60">
        <f t="shared" si="1"/>
        <v>0</v>
      </c>
      <c r="U38" s="626"/>
    </row>
    <row r="39" spans="1:21" ht="10.5" customHeight="1">
      <c r="A39" s="84"/>
      <c r="B39" s="84"/>
      <c r="C39" s="84"/>
      <c r="D39" s="84"/>
      <c r="E39" s="85"/>
      <c r="G39" s="86"/>
      <c r="H39" s="612" t="s">
        <v>205</v>
      </c>
      <c r="I39" s="613"/>
      <c r="J39" s="614"/>
      <c r="K39" s="67">
        <f>SUM(K33:K38)</f>
        <v>0</v>
      </c>
      <c r="M39" s="64" t="s">
        <v>189</v>
      </c>
      <c r="N39" s="72"/>
      <c r="O39" s="72"/>
      <c r="P39" s="60">
        <f t="shared" si="1"/>
        <v>0</v>
      </c>
      <c r="U39" s="626"/>
    </row>
    <row r="40" spans="1:21" ht="10.5" customHeight="1">
      <c r="A40" s="595" t="s">
        <v>206</v>
      </c>
      <c r="B40" s="595"/>
      <c r="C40" s="595"/>
      <c r="D40" s="595"/>
      <c r="E40" s="595"/>
      <c r="M40" s="64" t="s">
        <v>190</v>
      </c>
      <c r="N40" s="72"/>
      <c r="O40" s="72"/>
      <c r="P40" s="60">
        <f>SUM(P39+N40+O40)</f>
        <v>0</v>
      </c>
    </row>
    <row r="41" spans="1:21" ht="10.5" customHeight="1">
      <c r="A41" s="596"/>
      <c r="B41" s="596"/>
      <c r="C41" s="596"/>
      <c r="D41" s="596"/>
      <c r="E41" s="596"/>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0">
        <v>20</v>
      </c>
      <c r="C43" s="72"/>
      <c r="D43" s="73">
        <f>SUM(B43*C43)</f>
        <v>0</v>
      </c>
      <c r="E43" s="241">
        <f>SUM(B43/2)</f>
        <v>10</v>
      </c>
      <c r="F43" s="245"/>
      <c r="G43" s="73">
        <f>SUM(E43*F43)</f>
        <v>0</v>
      </c>
      <c r="H43" s="615">
        <v>320</v>
      </c>
      <c r="I43" s="617"/>
      <c r="J43" s="619">
        <f>SUM(H43*I43)</f>
        <v>0</v>
      </c>
      <c r="K43" s="62">
        <f>SUM(J43,G43,D43)</f>
        <v>0</v>
      </c>
      <c r="M43" s="64" t="s">
        <v>193</v>
      </c>
      <c r="N43" s="72"/>
      <c r="O43" s="72"/>
      <c r="P43" s="60">
        <f>SUM(P42+N43+O43)</f>
        <v>0</v>
      </c>
    </row>
    <row r="44" spans="1:21" ht="10.5" customHeight="1">
      <c r="A44" s="64" t="s">
        <v>211</v>
      </c>
      <c r="B44" s="240">
        <v>20</v>
      </c>
      <c r="C44" s="72"/>
      <c r="D44" s="73">
        <f>SUM(B44*C44)</f>
        <v>0</v>
      </c>
      <c r="E44" s="593" t="s">
        <v>252</v>
      </c>
      <c r="F44" s="594"/>
      <c r="G44" s="87">
        <v>0</v>
      </c>
      <c r="H44" s="616"/>
      <c r="I44" s="618"/>
      <c r="J44" s="620"/>
      <c r="K44" s="62">
        <f>SUM(D44+G44+J44)</f>
        <v>0</v>
      </c>
      <c r="M44" s="64" t="s">
        <v>194</v>
      </c>
      <c r="N44" s="72"/>
      <c r="O44" s="72"/>
      <c r="P44" s="60">
        <f>SUM(P43+N44+O44)</f>
        <v>0</v>
      </c>
    </row>
    <row r="45" spans="1:21" ht="10.5" customHeight="1">
      <c r="H45" s="612" t="s">
        <v>212</v>
      </c>
      <c r="I45" s="613"/>
      <c r="J45" s="614"/>
      <c r="K45" s="67">
        <f>SUM(K43:K44)</f>
        <v>0</v>
      </c>
      <c r="M45" s="88" t="s">
        <v>162</v>
      </c>
      <c r="N45" s="88">
        <f>SUM(N34:N44)</f>
        <v>0</v>
      </c>
      <c r="O45" s="88">
        <f>SUM(O34:O44)</f>
        <v>0</v>
      </c>
      <c r="P45" s="81">
        <f>SUM(P44)</f>
        <v>0</v>
      </c>
    </row>
    <row r="46" spans="1:21" ht="10.5" customHeight="1">
      <c r="H46" s="612" t="s">
        <v>213</v>
      </c>
      <c r="I46" s="613"/>
      <c r="J46" s="614"/>
      <c r="K46" s="67">
        <f>SUM(K17+K28+K39+K45)</f>
        <v>0</v>
      </c>
    </row>
  </sheetData>
  <sheetProtection algorithmName="SHA-512" hashValue="7w7PxgHRk9DCLCRqnSH9acQ5mZZfltBW48k33NRTaKQGhbM0a4cuiAtAQQQVmth8GQ2lV+o4XO0HD6sBjOVpfg==" saltValue="68Wz6nf5ghOFtdfaXXXnKQ==" spinCount="100000" sheet="1" objects="1" scenarios="1"/>
  <dataConsolidate/>
  <mergeCells count="48">
    <mergeCell ref="A8:D8"/>
    <mergeCell ref="E8:G8"/>
    <mergeCell ref="J8:L8"/>
    <mergeCell ref="A9:D9"/>
    <mergeCell ref="E9:G9"/>
    <mergeCell ref="J9:L9"/>
    <mergeCell ref="H28:J28"/>
    <mergeCell ref="A29:E30"/>
    <mergeCell ref="A38:G38"/>
    <mergeCell ref="A24:G24"/>
    <mergeCell ref="A25:G25"/>
    <mergeCell ref="A26:G26"/>
    <mergeCell ref="A27:G27"/>
    <mergeCell ref="A33:D33"/>
    <mergeCell ref="A34:D34"/>
    <mergeCell ref="A35:D35"/>
    <mergeCell ref="A36:D36"/>
    <mergeCell ref="A31:D31"/>
    <mergeCell ref="H45:J45"/>
    <mergeCell ref="H46:J46"/>
    <mergeCell ref="H39:J39"/>
    <mergeCell ref="A40:E41"/>
    <mergeCell ref="H43:H44"/>
    <mergeCell ref="I43:I44"/>
    <mergeCell ref="J43:J44"/>
    <mergeCell ref="E44:F44"/>
    <mergeCell ref="P31:P32"/>
    <mergeCell ref="E31:G31"/>
    <mergeCell ref="H31:J31"/>
    <mergeCell ref="K31:K32"/>
    <mergeCell ref="M31:M32"/>
    <mergeCell ref="N31:O31"/>
    <mergeCell ref="I3:P4"/>
    <mergeCell ref="H17:J17"/>
    <mergeCell ref="U1:U39"/>
    <mergeCell ref="A2:K2"/>
    <mergeCell ref="L2:P2"/>
    <mergeCell ref="A4:E4"/>
    <mergeCell ref="A10:O10"/>
    <mergeCell ref="C11:D11"/>
    <mergeCell ref="M12:P13"/>
    <mergeCell ref="N14:O14"/>
    <mergeCell ref="A18:E19"/>
    <mergeCell ref="A20:D20"/>
    <mergeCell ref="A21:D21"/>
    <mergeCell ref="A22:D22"/>
    <mergeCell ref="A23:D23"/>
    <mergeCell ref="E23:G23"/>
  </mergeCells>
  <dataValidations count="4">
    <dataValidation type="whole" allowBlank="1" showInputMessage="1" showErrorMessage="1" error="Vous devez saisir un nombre entier" sqref="P8:P9" xr:uid="{00000000-0002-0000-0500-000000000000}">
      <formula1>0</formula1>
      <formula2>1000</formula2>
    </dataValidation>
    <dataValidation type="whole" operator="lessThan" allowBlank="1" showInputMessage="1" showErrorMessage="1" error="Prise en charge à concurrence de 11 mois par an maximum" sqref="I43:I44" xr:uid="{00000000-0002-0000-0500-000001000000}">
      <formula1>12</formula1>
    </dataValidation>
    <dataValidation type="whole" operator="lessThan" allowBlank="1" showInputMessage="1" showErrorMessage="1" error="Prise en charge à concurrence de 11 mois maximum" sqref="I38" xr:uid="{00000000-0002-0000-0500-000002000000}">
      <formula1>12</formula1>
    </dataValidation>
    <dataValidation type="list" allowBlank="1" showInputMessage="1" showErrorMessage="1" sqref="C11" xr:uid="{00000000-0002-0000-0500-000003000000}">
      <formula1>$Q$20:$T$20</formula1>
    </dataValidation>
  </dataValidations>
  <hyperlinks>
    <hyperlink ref="K11" r:id="rId1" xr:uid="{00000000-0004-0000-0500-000000000000}"/>
    <hyperlink ref="F30" r:id="rId2" xr:uid="{00000000-0004-0000-05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J46"/>
  <sheetViews>
    <sheetView topLeftCell="D2" zoomScale="85" zoomScaleNormal="85" workbookViewId="0">
      <selection activeCell="N16" sqref="N16"/>
    </sheetView>
  </sheetViews>
  <sheetFormatPr baseColWidth="10" defaultColWidth="11.44140625" defaultRowHeight="10.199999999999999"/>
  <cols>
    <col min="1" max="1" width="8.77734375" style="47" customWidth="1"/>
    <col min="2" max="10" width="9.77734375" style="47" customWidth="1"/>
    <col min="11" max="11" width="11.77734375" style="47" customWidth="1"/>
    <col min="12" max="12" width="4.77734375" style="47" customWidth="1"/>
    <col min="13" max="13" width="9.77734375" style="47" customWidth="1"/>
    <col min="14" max="14" width="6.5546875" style="47" customWidth="1"/>
    <col min="15" max="16" width="7.21875" style="47" customWidth="1"/>
    <col min="17" max="20" width="11.77734375" style="47" hidden="1" customWidth="1"/>
    <col min="21" max="21" width="123.77734375" style="47" customWidth="1"/>
    <col min="22" max="16384" width="11.441406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626" t="s">
        <v>506</v>
      </c>
    </row>
    <row r="2" spans="1:36" s="11" customFormat="1" ht="22.5" customHeight="1">
      <c r="A2" s="471" t="s">
        <v>216</v>
      </c>
      <c r="B2" s="471"/>
      <c r="C2" s="471"/>
      <c r="D2" s="471"/>
      <c r="E2" s="471"/>
      <c r="F2" s="471"/>
      <c r="G2" s="471"/>
      <c r="H2" s="471"/>
      <c r="I2" s="471"/>
      <c r="J2" s="471"/>
      <c r="K2" s="471"/>
      <c r="L2" s="471" t="s">
        <v>465</v>
      </c>
      <c r="M2" s="471"/>
      <c r="N2" s="471"/>
      <c r="O2" s="471"/>
      <c r="P2" s="471"/>
      <c r="U2" s="626"/>
    </row>
    <row r="3" spans="1:36" ht="15" customHeight="1">
      <c r="A3" s="275" t="str">
        <f>IF(DAPEC!A3="SELECTIONNER VOTRE ETABLISSEMENT DANS LA LISTE","Sélectionner votre établissement onglet DAPEC ligne 3",DAPEC!A3)</f>
        <v>Sélectionner votre établissement onglet DAPEC ligne 3</v>
      </c>
      <c r="B3" s="275"/>
      <c r="C3" s="275"/>
      <c r="D3" s="275"/>
      <c r="E3" s="275"/>
      <c r="F3" s="42"/>
      <c r="G3" s="42"/>
      <c r="H3" s="42"/>
      <c r="I3" s="630" t="str">
        <f>IF('Déplacement 2025'!I3="Vous avez choisi le forfait mensuel, vous devez utiliser l'onglet précédent","",IF(DAPEC!B11="","Renseigner le nom de l'agent onglet DAPEC ligne 11",DAPEC!B11))</f>
        <v>Renseigner le nom de l'agent onglet DAPEC ligne 11</v>
      </c>
      <c r="J3" s="630"/>
      <c r="K3" s="630"/>
      <c r="L3" s="630"/>
      <c r="M3" s="630"/>
      <c r="N3" s="630"/>
      <c r="O3" s="630"/>
      <c r="P3" s="630"/>
      <c r="U3" s="626"/>
    </row>
    <row r="4" spans="1:36" ht="15" customHeight="1">
      <c r="A4" s="595" t="s">
        <v>421</v>
      </c>
      <c r="B4" s="595"/>
      <c r="C4" s="595"/>
      <c r="D4" s="595"/>
      <c r="E4" s="595"/>
      <c r="F4" s="42"/>
      <c r="G4" s="42"/>
      <c r="H4" s="42"/>
      <c r="I4" s="630"/>
      <c r="J4" s="630"/>
      <c r="K4" s="630"/>
      <c r="L4" s="630"/>
      <c r="M4" s="630"/>
      <c r="N4" s="630"/>
      <c r="O4" s="630"/>
      <c r="P4" s="630"/>
      <c r="U4" s="626"/>
    </row>
    <row r="5" spans="1:36" ht="10.5" customHeight="1">
      <c r="A5" s="47" t="s">
        <v>422</v>
      </c>
      <c r="U5" s="626"/>
    </row>
    <row r="6" spans="1:36" ht="10.5" customHeight="1">
      <c r="A6" s="47" t="s">
        <v>423</v>
      </c>
      <c r="Q6" s="53"/>
      <c r="R6" s="53"/>
      <c r="S6" s="53"/>
      <c r="T6" s="53"/>
      <c r="U6" s="626"/>
      <c r="V6" s="54"/>
      <c r="W6" s="54"/>
      <c r="X6" s="54"/>
      <c r="Y6" s="54"/>
      <c r="Z6" s="54"/>
      <c r="AA6" s="54"/>
      <c r="AB6" s="54"/>
      <c r="AC6" s="54"/>
      <c r="AD6" s="54"/>
      <c r="AE6" s="54"/>
      <c r="AF6" s="54"/>
      <c r="AG6" s="54"/>
      <c r="AH6" s="54"/>
      <c r="AI6" s="54"/>
      <c r="AJ6" s="54"/>
    </row>
    <row r="7" spans="1:36" ht="10.5" customHeight="1">
      <c r="A7" s="47" t="s">
        <v>424</v>
      </c>
      <c r="Q7" s="53"/>
      <c r="R7" s="53"/>
      <c r="S7" s="53"/>
      <c r="T7" s="53"/>
      <c r="U7" s="626"/>
    </row>
    <row r="8" spans="1:36" ht="10.5" customHeight="1">
      <c r="A8" s="602" t="s">
        <v>463</v>
      </c>
      <c r="B8" s="602"/>
      <c r="C8" s="602"/>
      <c r="D8" s="602"/>
      <c r="E8" s="631" t="str">
        <f>IF('Déplacement 2025'!E8="","",'Déplacement 2025'!E8)</f>
        <v/>
      </c>
      <c r="F8" s="631"/>
      <c r="G8" s="631"/>
      <c r="H8" s="54"/>
      <c r="I8" s="342" t="s">
        <v>461</v>
      </c>
      <c r="J8" s="631" t="str">
        <f>IF('Déplacement 2025'!J8="","",'Déplacement 2025'!J8)</f>
        <v/>
      </c>
      <c r="K8" s="631"/>
      <c r="L8" s="631"/>
      <c r="O8" s="342" t="s">
        <v>464</v>
      </c>
      <c r="P8" s="276">
        <f>IF('Déplacement 2025'!P8="","",'Déplacement 2025'!P8)</f>
        <v>0</v>
      </c>
      <c r="U8" s="626"/>
    </row>
    <row r="9" spans="1:36" ht="10.5" customHeight="1">
      <c r="A9" s="602" t="s">
        <v>462</v>
      </c>
      <c r="B9" s="602"/>
      <c r="C9" s="602"/>
      <c r="D9" s="602"/>
      <c r="E9" s="631" t="str">
        <f>IF('Déplacement 2025'!E9="","",'Déplacement 2025'!E9)</f>
        <v/>
      </c>
      <c r="F9" s="631"/>
      <c r="G9" s="631"/>
      <c r="H9" s="54"/>
      <c r="I9" s="342" t="s">
        <v>461</v>
      </c>
      <c r="J9" s="631" t="str">
        <f>IF('Déplacement 2025'!J9="","",'Déplacement 2025'!J9)</f>
        <v/>
      </c>
      <c r="K9" s="631"/>
      <c r="L9" s="631"/>
      <c r="O9" s="342" t="s">
        <v>464</v>
      </c>
      <c r="P9" s="276">
        <f>IF('Déplacement 2025'!P9="","",'Déplacement 2025'!P9)</f>
        <v>0</v>
      </c>
      <c r="U9" s="626"/>
    </row>
    <row r="10" spans="1:36" ht="10.5" customHeight="1">
      <c r="A10" s="602" t="s">
        <v>426</v>
      </c>
      <c r="B10" s="602"/>
      <c r="C10" s="602"/>
      <c r="D10" s="602"/>
      <c r="E10" s="602"/>
      <c r="F10" s="602"/>
      <c r="G10" s="602"/>
      <c r="H10" s="602"/>
      <c r="I10" s="602"/>
      <c r="J10" s="602"/>
      <c r="K10" s="602"/>
      <c r="L10" s="602"/>
      <c r="M10" s="602"/>
      <c r="N10" s="602"/>
      <c r="O10" s="602"/>
      <c r="P10" s="276">
        <f>'Déplacement 2025'!P10</f>
        <v>0</v>
      </c>
      <c r="U10" s="626"/>
    </row>
    <row r="11" spans="1:36" ht="10.5" customHeight="1">
      <c r="A11" s="48" t="s">
        <v>250</v>
      </c>
      <c r="B11" s="48"/>
      <c r="C11" s="596" t="str">
        <f>('Déplacement 2025'!C11)</f>
        <v>Choisir</v>
      </c>
      <c r="D11" s="596"/>
      <c r="E11" s="47" t="s">
        <v>157</v>
      </c>
      <c r="G11" s="268"/>
      <c r="K11" s="261" t="s">
        <v>409</v>
      </c>
      <c r="L11" s="84"/>
      <c r="M11" s="84"/>
      <c r="N11" s="84"/>
      <c r="O11" s="84"/>
      <c r="P11" s="84"/>
      <c r="U11" s="626"/>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0"/>
      <c r="M12" s="604" t="s">
        <v>163</v>
      </c>
      <c r="N12" s="605"/>
      <c r="O12" s="605"/>
      <c r="P12" s="606"/>
      <c r="U12" s="626"/>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0"/>
      <c r="M13" s="607"/>
      <c r="N13" s="608"/>
      <c r="O13" s="608"/>
      <c r="P13" s="609"/>
      <c r="U13" s="626"/>
    </row>
    <row r="14" spans="1:36" ht="10.5" customHeight="1">
      <c r="A14" s="59" t="s">
        <v>169</v>
      </c>
      <c r="B14" s="240">
        <v>0.32</v>
      </c>
      <c r="C14" s="60" t="str">
        <f>IF(C11=A14,Q21,"")</f>
        <v/>
      </c>
      <c r="D14" s="61" t="str">
        <f>IF(C14="","0,00 €",B14*C14)</f>
        <v>0,00 €</v>
      </c>
      <c r="E14" s="241">
        <v>0.4</v>
      </c>
      <c r="F14" s="60" t="str">
        <f>IF(C11=A14,R21,"")</f>
        <v/>
      </c>
      <c r="G14" s="61" t="str">
        <f>IF(F14="","0,00 €",E14*F14)</f>
        <v>0,00 €</v>
      </c>
      <c r="H14" s="241">
        <v>0.23</v>
      </c>
      <c r="I14" s="60" t="str">
        <f>IF(C11=A14,S21,"")</f>
        <v/>
      </c>
      <c r="J14" s="61" t="str">
        <f>IF(I14="","0,00 €",H14*I14)</f>
        <v>0,00 €</v>
      </c>
      <c r="K14" s="269">
        <f>SUM(J14,G14,D14)</f>
        <v>0</v>
      </c>
      <c r="L14" s="271"/>
      <c r="M14" s="49" t="s">
        <v>170</v>
      </c>
      <c r="N14" s="627" t="s">
        <v>159</v>
      </c>
      <c r="O14" s="628"/>
      <c r="P14" s="49" t="s">
        <v>171</v>
      </c>
      <c r="U14" s="626"/>
    </row>
    <row r="15" spans="1:36" ht="10.5" customHeight="1">
      <c r="A15" s="59" t="s">
        <v>172</v>
      </c>
      <c r="B15" s="240">
        <v>0.41</v>
      </c>
      <c r="C15" s="60" t="str">
        <f>IF(C11=A15,Q21,"")</f>
        <v/>
      </c>
      <c r="D15" s="61" t="str">
        <f>IF(C15="","0,00 €",B15*C15)</f>
        <v>0,00 €</v>
      </c>
      <c r="E15" s="241">
        <v>0.51</v>
      </c>
      <c r="F15" s="60" t="str">
        <f>IF(C11=A15,R21,"")</f>
        <v/>
      </c>
      <c r="G15" s="61" t="str">
        <f>IF(F15="","0,00 €",E15*F15)</f>
        <v>0,00 €</v>
      </c>
      <c r="H15" s="241">
        <v>0.3</v>
      </c>
      <c r="I15" s="60" t="str">
        <f>IF(C11=A15,S21,"")</f>
        <v/>
      </c>
      <c r="J15" s="61" t="str">
        <f>IF(I15="","0,00 €",H15*I15)</f>
        <v>0,00 €</v>
      </c>
      <c r="K15" s="269">
        <f>SUM(J15,G15,D15)</f>
        <v>0</v>
      </c>
      <c r="L15" s="271"/>
      <c r="M15" s="55"/>
      <c r="N15" s="270" t="s">
        <v>173</v>
      </c>
      <c r="O15" s="270" t="s">
        <v>174</v>
      </c>
      <c r="P15" s="55"/>
      <c r="Q15" s="53"/>
      <c r="R15" s="53"/>
      <c r="S15" s="53"/>
      <c r="T15" s="53"/>
      <c r="U15" s="626"/>
      <c r="V15" s="77"/>
      <c r="W15" s="77"/>
      <c r="X15" s="77"/>
      <c r="Y15" s="77"/>
      <c r="Z15" s="77"/>
      <c r="AA15" s="77"/>
      <c r="AB15" s="77"/>
      <c r="AC15" s="77"/>
      <c r="AD15" s="77"/>
      <c r="AE15" s="77"/>
      <c r="AF15" s="77"/>
      <c r="AG15" s="77"/>
      <c r="AH15" s="77"/>
      <c r="AI15" s="77"/>
    </row>
    <row r="16" spans="1:36" ht="10.5" customHeight="1">
      <c r="A16" s="59" t="s">
        <v>175</v>
      </c>
      <c r="B16" s="240">
        <v>0.45</v>
      </c>
      <c r="C16" s="60" t="str">
        <f>IF(C11=A16,Q21,"")</f>
        <v/>
      </c>
      <c r="D16" s="61" t="str">
        <f>IF(C16="","0,00 €",B16*C16)</f>
        <v>0,00 €</v>
      </c>
      <c r="E16" s="241">
        <v>0.55000000000000004</v>
      </c>
      <c r="F16" s="60" t="str">
        <f>IF(C11=A16,R21,"")</f>
        <v/>
      </c>
      <c r="G16" s="61" t="str">
        <f>IF(F16="","0,00 €",E16*F16)</f>
        <v>0,00 €</v>
      </c>
      <c r="H16" s="242">
        <v>0.32</v>
      </c>
      <c r="I16" s="63" t="str">
        <f>IF(C11=A16,S21,"")</f>
        <v/>
      </c>
      <c r="J16" s="61" t="str">
        <f>IF(I16="","0,00 €",H16*I16)</f>
        <v>0,00 €</v>
      </c>
      <c r="K16" s="269">
        <f>SUM(J16,G16,D16)</f>
        <v>0</v>
      </c>
      <c r="L16" s="271"/>
      <c r="M16" s="64" t="s">
        <v>176</v>
      </c>
      <c r="N16" s="65"/>
      <c r="O16" s="66">
        <f>SUM(P10*N16)</f>
        <v>0</v>
      </c>
      <c r="P16" s="60">
        <f>SUM(O16)</f>
        <v>0</v>
      </c>
      <c r="Q16" s="47" t="s">
        <v>249</v>
      </c>
      <c r="U16" s="626"/>
    </row>
    <row r="17" spans="1:21" ht="10.5" customHeight="1">
      <c r="A17" s="271"/>
      <c r="B17" s="271"/>
      <c r="C17" s="271"/>
      <c r="D17" s="271"/>
      <c r="E17" s="271"/>
      <c r="F17" s="271"/>
      <c r="G17" s="271"/>
      <c r="H17" s="612" t="s">
        <v>177</v>
      </c>
      <c r="I17" s="613"/>
      <c r="J17" s="614"/>
      <c r="K17" s="67">
        <f>SUM(K14:K16)</f>
        <v>0</v>
      </c>
      <c r="L17" s="271"/>
      <c r="M17" s="64" t="s">
        <v>178</v>
      </c>
      <c r="N17" s="65"/>
      <c r="O17" s="66">
        <f>SUM(P10*N17)</f>
        <v>0</v>
      </c>
      <c r="P17" s="60">
        <f>SUM(P16+O17)</f>
        <v>0</v>
      </c>
      <c r="U17" s="626"/>
    </row>
    <row r="18" spans="1:21" ht="10.5" customHeight="1">
      <c r="A18" s="595" t="s">
        <v>251</v>
      </c>
      <c r="B18" s="595"/>
      <c r="C18" s="595"/>
      <c r="D18" s="595"/>
      <c r="E18" s="595"/>
      <c r="M18" s="64" t="s">
        <v>179</v>
      </c>
      <c r="N18" s="65"/>
      <c r="O18" s="66">
        <f>SUM(P10*N18)</f>
        <v>0</v>
      </c>
      <c r="P18" s="60">
        <f t="shared" ref="P18:P27" si="0">SUM(P17+O18)</f>
        <v>0</v>
      </c>
      <c r="U18" s="626"/>
    </row>
    <row r="19" spans="1:21" ht="10.5" customHeight="1">
      <c r="A19" s="596"/>
      <c r="B19" s="596"/>
      <c r="C19" s="596"/>
      <c r="D19" s="596"/>
      <c r="E19" s="596"/>
      <c r="M19" s="64" t="s">
        <v>183</v>
      </c>
      <c r="N19" s="65"/>
      <c r="O19" s="66">
        <f>SUM(P10*N19)</f>
        <v>0</v>
      </c>
      <c r="P19" s="60">
        <f t="shared" si="0"/>
        <v>0</v>
      </c>
      <c r="U19" s="626"/>
    </row>
    <row r="20" spans="1:21" ht="10.5" customHeight="1">
      <c r="A20" s="623"/>
      <c r="B20" s="600"/>
      <c r="C20" s="600"/>
      <c r="D20" s="60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626"/>
    </row>
    <row r="21" spans="1:21" ht="10.5" customHeight="1">
      <c r="A21" s="590" t="s">
        <v>184</v>
      </c>
      <c r="B21" s="591"/>
      <c r="C21" s="591"/>
      <c r="D21" s="592"/>
      <c r="E21" s="243">
        <v>0</v>
      </c>
      <c r="F21" s="72"/>
      <c r="G21" s="73">
        <f>SUM(E21*F21)</f>
        <v>0</v>
      </c>
      <c r="H21" s="243">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626"/>
    </row>
    <row r="22" spans="1:21" ht="10.5" customHeight="1">
      <c r="A22" s="590" t="s">
        <v>186</v>
      </c>
      <c r="B22" s="591"/>
      <c r="C22" s="591"/>
      <c r="D22" s="592"/>
      <c r="E22" s="243">
        <v>0</v>
      </c>
      <c r="F22" s="72"/>
      <c r="G22" s="73">
        <f>SUM(E22*F22)</f>
        <v>0</v>
      </c>
      <c r="H22" s="243">
        <v>0</v>
      </c>
      <c r="I22" s="72"/>
      <c r="J22" s="73">
        <f>SUM(H22*I22)</f>
        <v>0</v>
      </c>
      <c r="K22" s="62">
        <f>SUM(D22+G22+J22)</f>
        <v>0</v>
      </c>
      <c r="M22" s="64" t="s">
        <v>189</v>
      </c>
      <c r="N22" s="65"/>
      <c r="O22" s="66">
        <f>SUM(P10*N22)</f>
        <v>0</v>
      </c>
      <c r="P22" s="60">
        <f t="shared" si="0"/>
        <v>0</v>
      </c>
      <c r="U22" s="626"/>
    </row>
    <row r="23" spans="1:21" ht="10.5" customHeight="1">
      <c r="A23" s="623"/>
      <c r="B23" s="600"/>
      <c r="C23" s="600"/>
      <c r="D23" s="600"/>
      <c r="E23" s="600"/>
      <c r="F23" s="600"/>
      <c r="G23" s="601"/>
      <c r="H23" s="74" t="s">
        <v>188</v>
      </c>
      <c r="I23" s="64" t="s">
        <v>181</v>
      </c>
      <c r="J23" s="75" t="s">
        <v>0</v>
      </c>
      <c r="K23" s="76"/>
      <c r="M23" s="64" t="s">
        <v>190</v>
      </c>
      <c r="N23" s="65"/>
      <c r="O23" s="66">
        <f>SUM(P10*N23)</f>
        <v>0</v>
      </c>
      <c r="P23" s="60">
        <f t="shared" si="0"/>
        <v>0</v>
      </c>
      <c r="U23" s="626"/>
    </row>
    <row r="24" spans="1:21" ht="10.5" customHeight="1">
      <c r="A24" s="590" t="s">
        <v>425</v>
      </c>
      <c r="B24" s="591"/>
      <c r="C24" s="591"/>
      <c r="D24" s="591"/>
      <c r="E24" s="591"/>
      <c r="F24" s="591"/>
      <c r="G24" s="592"/>
      <c r="H24" s="244">
        <v>0</v>
      </c>
      <c r="I24" s="72"/>
      <c r="J24" s="73">
        <f>SUM(H24*I24)</f>
        <v>0</v>
      </c>
      <c r="K24" s="62">
        <f>SUM(J24)</f>
        <v>0</v>
      </c>
      <c r="M24" s="64" t="s">
        <v>191</v>
      </c>
      <c r="N24" s="65"/>
      <c r="O24" s="66">
        <f>SUM(P10*N24)</f>
        <v>0</v>
      </c>
      <c r="P24" s="60">
        <f t="shared" si="0"/>
        <v>0</v>
      </c>
      <c r="U24" s="626"/>
    </row>
    <row r="25" spans="1:21" ht="10.5" customHeight="1">
      <c r="A25" s="590" t="s">
        <v>196</v>
      </c>
      <c r="B25" s="591"/>
      <c r="C25" s="591"/>
      <c r="D25" s="591"/>
      <c r="E25" s="591"/>
      <c r="F25" s="591"/>
      <c r="G25" s="592"/>
      <c r="H25" s="244">
        <v>0</v>
      </c>
      <c r="I25" s="72"/>
      <c r="J25" s="73">
        <f>SUM(H25*I25)</f>
        <v>0</v>
      </c>
      <c r="K25" s="62">
        <f>SUM(J25)</f>
        <v>0</v>
      </c>
      <c r="M25" s="64" t="s">
        <v>192</v>
      </c>
      <c r="N25" s="65"/>
      <c r="O25" s="66">
        <f>SUM(P10*N25)</f>
        <v>0</v>
      </c>
      <c r="P25" s="60">
        <f t="shared" si="0"/>
        <v>0</v>
      </c>
      <c r="U25" s="626"/>
    </row>
    <row r="26" spans="1:21" ht="10.5" customHeight="1">
      <c r="A26" s="590" t="s">
        <v>195</v>
      </c>
      <c r="B26" s="591"/>
      <c r="C26" s="591"/>
      <c r="D26" s="591"/>
      <c r="E26" s="591"/>
      <c r="F26" s="591"/>
      <c r="G26" s="592"/>
      <c r="H26" s="244">
        <v>0</v>
      </c>
      <c r="I26" s="72"/>
      <c r="J26" s="73">
        <f>SUM(H26*I26)</f>
        <v>0</v>
      </c>
      <c r="K26" s="62">
        <f>SUM(J26)</f>
        <v>0</v>
      </c>
      <c r="M26" s="64" t="s">
        <v>193</v>
      </c>
      <c r="N26" s="65"/>
      <c r="O26" s="66">
        <f>SUM(P10*N26)</f>
        <v>0</v>
      </c>
      <c r="P26" s="60">
        <f t="shared" si="0"/>
        <v>0</v>
      </c>
      <c r="U26" s="626"/>
    </row>
    <row r="27" spans="1:21" ht="10.5" customHeight="1">
      <c r="A27" s="590" t="s">
        <v>197</v>
      </c>
      <c r="B27" s="591"/>
      <c r="C27" s="591"/>
      <c r="D27" s="591"/>
      <c r="E27" s="591"/>
      <c r="F27" s="591"/>
      <c r="G27" s="592"/>
      <c r="H27" s="244">
        <v>0</v>
      </c>
      <c r="I27" s="72"/>
      <c r="J27" s="73">
        <f>SUM(H27*I27)</f>
        <v>0</v>
      </c>
      <c r="K27" s="62">
        <f>SUM(J27)</f>
        <v>0</v>
      </c>
      <c r="M27" s="64" t="s">
        <v>194</v>
      </c>
      <c r="N27" s="65"/>
      <c r="O27" s="66">
        <f>SUM(P10*N27)</f>
        <v>0</v>
      </c>
      <c r="P27" s="60">
        <f t="shared" si="0"/>
        <v>0</v>
      </c>
      <c r="U27" s="626"/>
    </row>
    <row r="28" spans="1:21" ht="10.5" customHeight="1">
      <c r="H28" s="612" t="s">
        <v>198</v>
      </c>
      <c r="I28" s="613"/>
      <c r="J28" s="614"/>
      <c r="K28" s="67">
        <f>SUM(K21:K27)</f>
        <v>0</v>
      </c>
      <c r="M28" s="78" t="s">
        <v>162</v>
      </c>
      <c r="N28" s="79">
        <f>SUM(N16:N27)</f>
        <v>0</v>
      </c>
      <c r="O28" s="80">
        <f>SUM(O16:O27)</f>
        <v>0</v>
      </c>
      <c r="P28" s="81">
        <f>SUM(P27)</f>
        <v>0</v>
      </c>
      <c r="U28" s="626"/>
    </row>
    <row r="29" spans="1:21" ht="10.5" customHeight="1">
      <c r="A29" s="595" t="s">
        <v>199</v>
      </c>
      <c r="B29" s="595"/>
      <c r="C29" s="595"/>
      <c r="D29" s="595"/>
      <c r="E29" s="595"/>
      <c r="U29" s="626"/>
    </row>
    <row r="30" spans="1:21" ht="10.5" customHeight="1">
      <c r="A30" s="596"/>
      <c r="B30" s="596"/>
      <c r="C30" s="596"/>
      <c r="D30" s="596"/>
      <c r="E30" s="596"/>
      <c r="F30" s="272" t="s">
        <v>476</v>
      </c>
      <c r="G30" s="48"/>
      <c r="H30" s="48"/>
      <c r="I30" s="48"/>
      <c r="J30" s="48"/>
      <c r="K30" s="48"/>
      <c r="U30" s="626"/>
    </row>
    <row r="31" spans="1:21" ht="10.5" customHeight="1">
      <c r="A31" s="623"/>
      <c r="B31" s="600"/>
      <c r="C31" s="600"/>
      <c r="D31" s="601"/>
      <c r="E31" s="599" t="s">
        <v>200</v>
      </c>
      <c r="F31" s="600"/>
      <c r="G31" s="601"/>
      <c r="H31" s="599" t="s">
        <v>201</v>
      </c>
      <c r="I31" s="600"/>
      <c r="J31" s="601"/>
      <c r="K31" s="597" t="s">
        <v>162</v>
      </c>
      <c r="M31" s="621" t="s">
        <v>170</v>
      </c>
      <c r="N31" s="623" t="s">
        <v>203</v>
      </c>
      <c r="O31" s="624"/>
      <c r="P31" s="610" t="s">
        <v>171</v>
      </c>
      <c r="U31" s="626"/>
    </row>
    <row r="32" spans="1:21" ht="10.5" customHeight="1">
      <c r="A32" s="263"/>
      <c r="B32" s="260"/>
      <c r="C32" s="260"/>
      <c r="D32" s="262"/>
      <c r="E32" s="68" t="s">
        <v>202</v>
      </c>
      <c r="F32" s="69" t="s">
        <v>181</v>
      </c>
      <c r="G32" s="70" t="s">
        <v>0</v>
      </c>
      <c r="H32" s="68" t="s">
        <v>202</v>
      </c>
      <c r="I32" s="69" t="s">
        <v>181</v>
      </c>
      <c r="J32" s="70" t="s">
        <v>0</v>
      </c>
      <c r="K32" s="598"/>
      <c r="M32" s="622"/>
      <c r="N32" s="64" t="s">
        <v>217</v>
      </c>
      <c r="O32" s="64" t="s">
        <v>218</v>
      </c>
      <c r="P32" s="611"/>
      <c r="U32" s="626"/>
    </row>
    <row r="33" spans="1:21" ht="10.5" customHeight="1">
      <c r="A33" s="590" t="s">
        <v>323</v>
      </c>
      <c r="B33" s="591"/>
      <c r="C33" s="591"/>
      <c r="D33" s="592"/>
      <c r="E33" s="241">
        <f>SUM(H33/2)</f>
        <v>60</v>
      </c>
      <c r="F33" s="245">
        <v>0</v>
      </c>
      <c r="G33" s="73">
        <f>SUM(E33*F33)</f>
        <v>0</v>
      </c>
      <c r="H33" s="241">
        <v>120</v>
      </c>
      <c r="I33" s="245">
        <v>0</v>
      </c>
      <c r="J33" s="73">
        <f>SUM(H33*I33)</f>
        <v>0</v>
      </c>
      <c r="K33" s="62">
        <f>SUM(G33+J33)</f>
        <v>0</v>
      </c>
      <c r="M33" s="64" t="s">
        <v>176</v>
      </c>
      <c r="N33" s="72"/>
      <c r="O33" s="72"/>
      <c r="P33" s="60">
        <f>SUM(N33:O33)</f>
        <v>0</v>
      </c>
      <c r="U33" s="626"/>
    </row>
    <row r="34" spans="1:21" ht="10.5" customHeight="1">
      <c r="A34" s="590" t="s">
        <v>324</v>
      </c>
      <c r="B34" s="591"/>
      <c r="C34" s="591"/>
      <c r="D34" s="592"/>
      <c r="E34" s="241">
        <f>SUM(H34/2)</f>
        <v>54</v>
      </c>
      <c r="F34" s="245">
        <v>0</v>
      </c>
      <c r="G34" s="73">
        <f>SUM(E34*F34)</f>
        <v>0</v>
      </c>
      <c r="H34" s="241">
        <f>SUM(H33)-(H33*10%)</f>
        <v>108</v>
      </c>
      <c r="I34" s="245">
        <v>0</v>
      </c>
      <c r="J34" s="73">
        <f>SUM(H34*I34)</f>
        <v>0</v>
      </c>
      <c r="K34" s="62">
        <f>SUM(G34+J34)</f>
        <v>0</v>
      </c>
      <c r="M34" s="64" t="s">
        <v>178</v>
      </c>
      <c r="N34" s="72"/>
      <c r="O34" s="72"/>
      <c r="P34" s="60">
        <f>SUM(P33+N34+O34)</f>
        <v>0</v>
      </c>
      <c r="U34" s="626"/>
    </row>
    <row r="35" spans="1:21" ht="10.5" customHeight="1">
      <c r="A35" s="590" t="s">
        <v>325</v>
      </c>
      <c r="B35" s="591"/>
      <c r="C35" s="591"/>
      <c r="D35" s="592"/>
      <c r="E35" s="241">
        <f>SUM(H35/2)</f>
        <v>48</v>
      </c>
      <c r="F35" s="245">
        <v>0</v>
      </c>
      <c r="G35" s="73">
        <f>SUM(E35*F35)</f>
        <v>0</v>
      </c>
      <c r="H35" s="241">
        <f>SUM(H33)-(H33*20%)</f>
        <v>96</v>
      </c>
      <c r="I35" s="245">
        <v>0</v>
      </c>
      <c r="J35" s="73">
        <f>SUM(H35*I35)</f>
        <v>0</v>
      </c>
      <c r="K35" s="62">
        <f>SUM(G35+J35)</f>
        <v>0</v>
      </c>
      <c r="M35" s="64" t="s">
        <v>179</v>
      </c>
      <c r="N35" s="72"/>
      <c r="O35" s="72"/>
      <c r="P35" s="60">
        <f t="shared" ref="P35:P39" si="1">SUM(P34+N35+O35)</f>
        <v>0</v>
      </c>
      <c r="U35" s="626"/>
    </row>
    <row r="36" spans="1:21" ht="10.5" customHeight="1">
      <c r="A36" s="590" t="s">
        <v>326</v>
      </c>
      <c r="B36" s="591"/>
      <c r="C36" s="591"/>
      <c r="D36" s="592"/>
      <c r="E36" s="241">
        <f>SUM(H36/2)</f>
        <v>36</v>
      </c>
      <c r="F36" s="245">
        <v>0</v>
      </c>
      <c r="G36" s="73">
        <f>SUM(E36*F36)</f>
        <v>0</v>
      </c>
      <c r="H36" s="241">
        <f>SUM(H33)-(H33*40%)</f>
        <v>72</v>
      </c>
      <c r="I36" s="245">
        <v>0</v>
      </c>
      <c r="J36" s="73">
        <f>SUM(H36*I36)</f>
        <v>0</v>
      </c>
      <c r="K36" s="62">
        <f>SUM(G36+J36)</f>
        <v>0</v>
      </c>
      <c r="M36" s="64" t="s">
        <v>183</v>
      </c>
      <c r="N36" s="72"/>
      <c r="O36" s="72"/>
      <c r="P36" s="60">
        <f t="shared" si="1"/>
        <v>0</v>
      </c>
      <c r="U36" s="626"/>
    </row>
    <row r="37" spans="1:21" ht="10.5" customHeight="1">
      <c r="A37" s="258"/>
      <c r="B37" s="259"/>
      <c r="C37" s="259"/>
      <c r="D37" s="259"/>
      <c r="E37" s="259"/>
      <c r="F37" s="259"/>
      <c r="G37" s="259"/>
      <c r="H37" s="82" t="s">
        <v>204</v>
      </c>
      <c r="I37" s="69" t="s">
        <v>181</v>
      </c>
      <c r="J37" s="70" t="s">
        <v>0</v>
      </c>
      <c r="K37" s="83"/>
      <c r="M37" s="64" t="s">
        <v>185</v>
      </c>
      <c r="N37" s="72"/>
      <c r="O37" s="72"/>
      <c r="P37" s="60">
        <f t="shared" si="1"/>
        <v>0</v>
      </c>
      <c r="U37" s="626"/>
    </row>
    <row r="38" spans="1:21" ht="10.5" customHeight="1">
      <c r="A38" s="590" t="s">
        <v>389</v>
      </c>
      <c r="B38" s="591"/>
      <c r="C38" s="591"/>
      <c r="D38" s="591"/>
      <c r="E38" s="591"/>
      <c r="F38" s="591"/>
      <c r="G38" s="592"/>
      <c r="H38" s="243">
        <v>0</v>
      </c>
      <c r="I38" s="245">
        <v>0</v>
      </c>
      <c r="J38" s="73">
        <f>SUM(H38*I38)</f>
        <v>0</v>
      </c>
      <c r="K38" s="62">
        <f>SUM(G38+J38)</f>
        <v>0</v>
      </c>
      <c r="M38" s="64" t="s">
        <v>187</v>
      </c>
      <c r="N38" s="72"/>
      <c r="O38" s="72"/>
      <c r="P38" s="60">
        <f t="shared" si="1"/>
        <v>0</v>
      </c>
      <c r="U38" s="626"/>
    </row>
    <row r="39" spans="1:21" ht="10.5" customHeight="1">
      <c r="A39" s="84"/>
      <c r="B39" s="84"/>
      <c r="C39" s="84"/>
      <c r="D39" s="84"/>
      <c r="E39" s="85"/>
      <c r="G39" s="86"/>
      <c r="H39" s="612" t="s">
        <v>205</v>
      </c>
      <c r="I39" s="613"/>
      <c r="J39" s="614"/>
      <c r="K39" s="67">
        <f>SUM(K33:K38)</f>
        <v>0</v>
      </c>
      <c r="M39" s="64" t="s">
        <v>189</v>
      </c>
      <c r="N39" s="72"/>
      <c r="O39" s="72"/>
      <c r="P39" s="60">
        <f t="shared" si="1"/>
        <v>0</v>
      </c>
      <c r="U39" s="626"/>
    </row>
    <row r="40" spans="1:21" ht="10.5" customHeight="1">
      <c r="A40" s="595" t="s">
        <v>206</v>
      </c>
      <c r="B40" s="595"/>
      <c r="C40" s="595"/>
      <c r="D40" s="595"/>
      <c r="E40" s="595"/>
      <c r="M40" s="64" t="s">
        <v>190</v>
      </c>
      <c r="N40" s="72"/>
      <c r="O40" s="72"/>
      <c r="P40" s="60">
        <f>SUM(P39+N40+O40)</f>
        <v>0</v>
      </c>
    </row>
    <row r="41" spans="1:21" ht="10.5" customHeight="1">
      <c r="A41" s="596"/>
      <c r="B41" s="596"/>
      <c r="C41" s="596"/>
      <c r="D41" s="596"/>
      <c r="E41" s="596"/>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0">
        <v>20</v>
      </c>
      <c r="C43" s="72"/>
      <c r="D43" s="73">
        <f>SUM(B43*C43)</f>
        <v>0</v>
      </c>
      <c r="E43" s="241">
        <f>SUM(B43/2)</f>
        <v>10</v>
      </c>
      <c r="F43" s="245"/>
      <c r="G43" s="73">
        <f>SUM(E43*F43)</f>
        <v>0</v>
      </c>
      <c r="H43" s="615">
        <v>320</v>
      </c>
      <c r="I43" s="617"/>
      <c r="J43" s="619">
        <f>SUM(H43*I43)</f>
        <v>0</v>
      </c>
      <c r="K43" s="62">
        <f>SUM(J43,G43,D43)</f>
        <v>0</v>
      </c>
      <c r="M43" s="64" t="s">
        <v>193</v>
      </c>
      <c r="N43" s="72"/>
      <c r="O43" s="72"/>
      <c r="P43" s="60">
        <f>SUM(P42+N43+O43)</f>
        <v>0</v>
      </c>
    </row>
    <row r="44" spans="1:21" ht="10.5" customHeight="1">
      <c r="A44" s="64" t="s">
        <v>211</v>
      </c>
      <c r="B44" s="240">
        <v>20</v>
      </c>
      <c r="C44" s="72"/>
      <c r="D44" s="73">
        <f>SUM(B44*C44)</f>
        <v>0</v>
      </c>
      <c r="E44" s="593" t="s">
        <v>252</v>
      </c>
      <c r="F44" s="594"/>
      <c r="G44" s="87">
        <v>0</v>
      </c>
      <c r="H44" s="616"/>
      <c r="I44" s="618"/>
      <c r="J44" s="620"/>
      <c r="K44" s="62">
        <f>SUM(D44+G44+J44)</f>
        <v>0</v>
      </c>
      <c r="M44" s="64" t="s">
        <v>194</v>
      </c>
      <c r="N44" s="72"/>
      <c r="O44" s="72"/>
      <c r="P44" s="60">
        <f>SUM(P43+N44+O44)</f>
        <v>0</v>
      </c>
    </row>
    <row r="45" spans="1:21" ht="10.5" customHeight="1">
      <c r="H45" s="612" t="s">
        <v>212</v>
      </c>
      <c r="I45" s="613"/>
      <c r="J45" s="614"/>
      <c r="K45" s="67">
        <f>SUM(K43:K44)</f>
        <v>0</v>
      </c>
      <c r="M45" s="88" t="s">
        <v>162</v>
      </c>
      <c r="N45" s="88">
        <f>SUM(N34:N44)</f>
        <v>0</v>
      </c>
      <c r="O45" s="88">
        <f>SUM(O34:O44)</f>
        <v>0</v>
      </c>
      <c r="P45" s="81">
        <f>SUM(P44)</f>
        <v>0</v>
      </c>
    </row>
    <row r="46" spans="1:21" ht="10.5" customHeight="1">
      <c r="H46" s="612" t="s">
        <v>213</v>
      </c>
      <c r="I46" s="613"/>
      <c r="J46" s="614"/>
      <c r="K46" s="67">
        <f>SUM(K17+K28+K39+K45)</f>
        <v>0</v>
      </c>
    </row>
  </sheetData>
  <sheetProtection algorithmName="SHA-512" hashValue="q3os/ZuXZNp9qhTO1XrQv6zzZGWzK86bdpAq3OIAD1/O5LFRLlnHCOcQLedgsbjQulLHEh6nnhaPyaAfK6znIw==" saltValue="X0Zg0AU/2fuvqd48N8STTw==" spinCount="100000" sheet="1" objects="1" scenarios="1"/>
  <dataConsolidate/>
  <mergeCells count="48">
    <mergeCell ref="A8:D8"/>
    <mergeCell ref="E8:G8"/>
    <mergeCell ref="J8:L8"/>
    <mergeCell ref="A9:D9"/>
    <mergeCell ref="E9:G9"/>
    <mergeCell ref="J9:L9"/>
    <mergeCell ref="H45:J45"/>
    <mergeCell ref="H46:J46"/>
    <mergeCell ref="A35:D35"/>
    <mergeCell ref="A36:D36"/>
    <mergeCell ref="A38:G38"/>
    <mergeCell ref="H39:J39"/>
    <mergeCell ref="A40:E41"/>
    <mergeCell ref="H43:H44"/>
    <mergeCell ref="I43:I44"/>
    <mergeCell ref="J43:J44"/>
    <mergeCell ref="E44:F44"/>
    <mergeCell ref="K31:K32"/>
    <mergeCell ref="M31:M32"/>
    <mergeCell ref="N31:O31"/>
    <mergeCell ref="P31:P32"/>
    <mergeCell ref="A33:D33"/>
    <mergeCell ref="H28:J28"/>
    <mergeCell ref="A29:E30"/>
    <mergeCell ref="A31:D31"/>
    <mergeCell ref="E31:G31"/>
    <mergeCell ref="H31:J31"/>
    <mergeCell ref="E23:G23"/>
    <mergeCell ref="A34:D34"/>
    <mergeCell ref="A25:G25"/>
    <mergeCell ref="A26:G26"/>
    <mergeCell ref="A27:G27"/>
    <mergeCell ref="I3:P4"/>
    <mergeCell ref="U1:U39"/>
    <mergeCell ref="A2:K2"/>
    <mergeCell ref="L2:P2"/>
    <mergeCell ref="A4:E4"/>
    <mergeCell ref="A24:G24"/>
    <mergeCell ref="A10:O10"/>
    <mergeCell ref="C11:D11"/>
    <mergeCell ref="M12:P13"/>
    <mergeCell ref="N14:O14"/>
    <mergeCell ref="H17:J17"/>
    <mergeCell ref="A18:E19"/>
    <mergeCell ref="A20:D20"/>
    <mergeCell ref="A21:D21"/>
    <mergeCell ref="A22:D22"/>
    <mergeCell ref="A23:D23"/>
  </mergeCells>
  <dataValidations count="4">
    <dataValidation type="list" allowBlank="1" showInputMessage="1" showErrorMessage="1" sqref="C11" xr:uid="{00000000-0002-0000-0600-000000000000}">
      <formula1>$Q$20:$T$20</formula1>
    </dataValidation>
    <dataValidation type="whole" operator="lessThan" allowBlank="1" showInputMessage="1" showErrorMessage="1" error="Prise en charge à concurrence de 11 mois maximum" sqref="I38" xr:uid="{00000000-0002-0000-0600-000001000000}">
      <formula1>12</formula1>
    </dataValidation>
    <dataValidation type="whole" operator="lessThan" allowBlank="1" showInputMessage="1" showErrorMessage="1" error="Prise en charge à concurrence de 11 mois par an maximum" sqref="I43:I44" xr:uid="{00000000-0002-0000-0600-000002000000}">
      <formula1>12</formula1>
    </dataValidation>
    <dataValidation type="whole" allowBlank="1" showInputMessage="1" showErrorMessage="1" error="Vous devez saisir un nombre entier" sqref="P8:P9" xr:uid="{00000000-0002-0000-0600-000003000000}">
      <formula1>0</formula1>
      <formula2>1000</formula2>
    </dataValidation>
  </dataValidations>
  <hyperlinks>
    <hyperlink ref="K11" r:id="rId1" xr:uid="{00000000-0004-0000-0600-000000000000}"/>
    <hyperlink ref="F30" r:id="rId2" xr:uid="{00000000-0004-0000-06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J46"/>
  <sheetViews>
    <sheetView topLeftCell="C1" zoomScaleNormal="100" workbookViewId="0">
      <selection activeCell="N16" sqref="N16"/>
    </sheetView>
  </sheetViews>
  <sheetFormatPr baseColWidth="10" defaultColWidth="11.44140625" defaultRowHeight="10.199999999999999"/>
  <cols>
    <col min="1" max="1" width="8.77734375" style="47" customWidth="1"/>
    <col min="2" max="10" width="9.77734375" style="47" customWidth="1"/>
    <col min="11" max="11" width="11.77734375" style="47" customWidth="1"/>
    <col min="12" max="12" width="4.77734375" style="47" customWidth="1"/>
    <col min="13" max="13" width="9.77734375" style="47" customWidth="1"/>
    <col min="14" max="14" width="6.5546875" style="47" customWidth="1"/>
    <col min="15" max="16" width="7.21875" style="47" customWidth="1"/>
    <col min="17" max="20" width="11.77734375" style="47" hidden="1" customWidth="1"/>
    <col min="21" max="21" width="123.77734375" style="47" customWidth="1"/>
    <col min="22" max="16384" width="11.441406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626" t="s">
        <v>506</v>
      </c>
    </row>
    <row r="2" spans="1:36" s="11" customFormat="1" ht="22.5" customHeight="1">
      <c r="A2" s="471" t="s">
        <v>216</v>
      </c>
      <c r="B2" s="471"/>
      <c r="C2" s="471"/>
      <c r="D2" s="471"/>
      <c r="E2" s="471"/>
      <c r="F2" s="471"/>
      <c r="G2" s="471"/>
      <c r="H2" s="471"/>
      <c r="I2" s="471"/>
      <c r="J2" s="471"/>
      <c r="K2" s="471"/>
      <c r="L2" s="471" t="s">
        <v>524</v>
      </c>
      <c r="M2" s="471"/>
      <c r="N2" s="471"/>
      <c r="O2" s="471"/>
      <c r="P2" s="471"/>
      <c r="U2" s="626"/>
    </row>
    <row r="3" spans="1:36" ht="15" customHeight="1">
      <c r="A3" s="275" t="str">
        <f>IF(DAPEC!A3="SELECTIONNER VOTRE ETABLISSEMENT DANS LA LISTE","Sélectionner votre établissement onglet DAPEC ligne 3",DAPEC!A3)</f>
        <v>Sélectionner votre établissement onglet DAPEC ligne 3</v>
      </c>
      <c r="B3" s="275"/>
      <c r="C3" s="275"/>
      <c r="D3" s="275"/>
      <c r="E3" s="275"/>
      <c r="F3" s="42"/>
      <c r="G3" s="42"/>
      <c r="H3" s="42"/>
      <c r="I3" s="632" t="str">
        <f>IF('Déplacement 2025'!I3="Vous avez choisi le forfait mensuel, vous devez utiliser l'onglet précédent","",IF(DAPEC!B11="","Renseigner le nom de l'agent onglet DAPEC ligne 11",DAPEC!B11))</f>
        <v>Renseigner le nom de l'agent onglet DAPEC ligne 11</v>
      </c>
      <c r="J3" s="632"/>
      <c r="K3" s="632"/>
      <c r="L3" s="632"/>
      <c r="M3" s="632"/>
      <c r="N3" s="632"/>
      <c r="O3" s="632"/>
      <c r="P3" s="632"/>
      <c r="U3" s="626"/>
    </row>
    <row r="4" spans="1:36" ht="15" customHeight="1">
      <c r="A4" s="595" t="s">
        <v>421</v>
      </c>
      <c r="B4" s="595"/>
      <c r="C4" s="595"/>
      <c r="D4" s="595"/>
      <c r="E4" s="595"/>
      <c r="F4" s="42"/>
      <c r="G4" s="42"/>
      <c r="H4" s="42"/>
      <c r="I4" s="632"/>
      <c r="J4" s="632"/>
      <c r="K4" s="632"/>
      <c r="L4" s="632"/>
      <c r="M4" s="632"/>
      <c r="N4" s="632"/>
      <c r="O4" s="632"/>
      <c r="P4" s="632"/>
      <c r="U4" s="626"/>
    </row>
    <row r="5" spans="1:36" ht="10.5" customHeight="1">
      <c r="A5" s="47" t="s">
        <v>422</v>
      </c>
      <c r="U5" s="626"/>
    </row>
    <row r="6" spans="1:36" ht="10.5" customHeight="1">
      <c r="A6" s="47" t="s">
        <v>423</v>
      </c>
      <c r="Q6" s="53"/>
      <c r="R6" s="53"/>
      <c r="S6" s="53"/>
      <c r="T6" s="53"/>
      <c r="U6" s="626"/>
      <c r="V6" s="54"/>
      <c r="W6" s="54"/>
      <c r="X6" s="54"/>
      <c r="Y6" s="54"/>
      <c r="Z6" s="54"/>
      <c r="AA6" s="54"/>
      <c r="AB6" s="54"/>
      <c r="AC6" s="54"/>
      <c r="AD6" s="54"/>
      <c r="AE6" s="54"/>
      <c r="AF6" s="54"/>
      <c r="AG6" s="54"/>
      <c r="AH6" s="54"/>
      <c r="AI6" s="54"/>
      <c r="AJ6" s="54"/>
    </row>
    <row r="7" spans="1:36" ht="10.5" customHeight="1">
      <c r="A7" s="47" t="s">
        <v>424</v>
      </c>
      <c r="Q7" s="53"/>
      <c r="R7" s="53"/>
      <c r="S7" s="53"/>
      <c r="T7" s="53"/>
      <c r="U7" s="626"/>
    </row>
    <row r="8" spans="1:36" ht="10.5" customHeight="1">
      <c r="A8" s="602" t="s">
        <v>463</v>
      </c>
      <c r="B8" s="602"/>
      <c r="C8" s="602"/>
      <c r="D8" s="602"/>
      <c r="E8" s="631" t="str">
        <f>IF('Déplacement 2025'!E8="","",'Déplacement 2025'!E8)</f>
        <v/>
      </c>
      <c r="F8" s="631"/>
      <c r="G8" s="631"/>
      <c r="H8" s="54"/>
      <c r="I8" s="342" t="s">
        <v>461</v>
      </c>
      <c r="J8" s="631" t="str">
        <f>IF('Déplacement 2025'!J8="","",'Déplacement 2025'!J8)</f>
        <v/>
      </c>
      <c r="K8" s="631"/>
      <c r="L8" s="631"/>
      <c r="O8" s="342" t="s">
        <v>464</v>
      </c>
      <c r="P8" s="276">
        <f>IF('Déplacement 2025'!P8="","",'Déplacement 2025'!P8)</f>
        <v>0</v>
      </c>
      <c r="U8" s="626"/>
    </row>
    <row r="9" spans="1:36" ht="10.5" customHeight="1">
      <c r="A9" s="602" t="s">
        <v>462</v>
      </c>
      <c r="B9" s="602"/>
      <c r="C9" s="602"/>
      <c r="D9" s="602"/>
      <c r="E9" s="631" t="str">
        <f>IF('Déplacement 2025'!E9="","",'Déplacement 2025'!E9)</f>
        <v/>
      </c>
      <c r="F9" s="631"/>
      <c r="G9" s="631"/>
      <c r="H9" s="54"/>
      <c r="I9" s="342" t="s">
        <v>461</v>
      </c>
      <c r="J9" s="631" t="str">
        <f>IF('Déplacement 2025'!J9="","",'Déplacement 2025'!J9)</f>
        <v/>
      </c>
      <c r="K9" s="631"/>
      <c r="L9" s="631"/>
      <c r="O9" s="342" t="s">
        <v>464</v>
      </c>
      <c r="P9" s="276">
        <f>IF('Déplacement 2025'!P9="","",'Déplacement 2025'!P9)</f>
        <v>0</v>
      </c>
      <c r="U9" s="626"/>
    </row>
    <row r="10" spans="1:36" ht="10.5" customHeight="1">
      <c r="A10" s="602" t="s">
        <v>426</v>
      </c>
      <c r="B10" s="602"/>
      <c r="C10" s="602"/>
      <c r="D10" s="602"/>
      <c r="E10" s="602"/>
      <c r="F10" s="602"/>
      <c r="G10" s="602"/>
      <c r="H10" s="602"/>
      <c r="I10" s="602"/>
      <c r="J10" s="602"/>
      <c r="K10" s="602"/>
      <c r="L10" s="602"/>
      <c r="M10" s="602"/>
      <c r="N10" s="602"/>
      <c r="O10" s="602"/>
      <c r="P10" s="276">
        <f>'Déplacement 2025'!P10</f>
        <v>0</v>
      </c>
      <c r="U10" s="626"/>
    </row>
    <row r="11" spans="1:36" ht="10.5" customHeight="1">
      <c r="A11" s="48" t="s">
        <v>250</v>
      </c>
      <c r="B11" s="48"/>
      <c r="C11" s="596" t="str">
        <f>('Déplacement 2025'!C11)</f>
        <v>Choisir</v>
      </c>
      <c r="D11" s="596"/>
      <c r="E11" s="47" t="s">
        <v>157</v>
      </c>
      <c r="G11" s="268"/>
      <c r="K11" s="261" t="s">
        <v>409</v>
      </c>
      <c r="L11" s="84"/>
      <c r="M11" s="84"/>
      <c r="N11" s="84"/>
      <c r="O11" s="84"/>
      <c r="P11" s="84"/>
      <c r="U11" s="626"/>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0"/>
      <c r="M12" s="604" t="s">
        <v>163</v>
      </c>
      <c r="N12" s="605"/>
      <c r="O12" s="605"/>
      <c r="P12" s="606"/>
      <c r="U12" s="626"/>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0"/>
      <c r="M13" s="607"/>
      <c r="N13" s="608"/>
      <c r="O13" s="608"/>
      <c r="P13" s="609"/>
      <c r="U13" s="626"/>
    </row>
    <row r="14" spans="1:36" ht="10.5" customHeight="1">
      <c r="A14" s="59" t="s">
        <v>169</v>
      </c>
      <c r="B14" s="240">
        <v>0.32</v>
      </c>
      <c r="C14" s="60" t="str">
        <f>IF(C11=A14,Q21,"")</f>
        <v/>
      </c>
      <c r="D14" s="61" t="str">
        <f>IF(C14="","0,00 €",B14*C14)</f>
        <v>0,00 €</v>
      </c>
      <c r="E14" s="241">
        <v>0.4</v>
      </c>
      <c r="F14" s="60" t="str">
        <f>IF(C11=A14,R21,"")</f>
        <v/>
      </c>
      <c r="G14" s="61" t="str">
        <f>IF(F14="","0,00 €",E14*F14)</f>
        <v>0,00 €</v>
      </c>
      <c r="H14" s="241">
        <v>0.23</v>
      </c>
      <c r="I14" s="60" t="str">
        <f>IF(C11=A14,S21,"")</f>
        <v/>
      </c>
      <c r="J14" s="61" t="str">
        <f>IF(I14="","0,00 €",H14*I14)</f>
        <v>0,00 €</v>
      </c>
      <c r="K14" s="269">
        <f>SUM(J14,G14,D14)</f>
        <v>0</v>
      </c>
      <c r="L14" s="271"/>
      <c r="M14" s="49" t="s">
        <v>170</v>
      </c>
      <c r="N14" s="627" t="s">
        <v>159</v>
      </c>
      <c r="O14" s="628"/>
      <c r="P14" s="49" t="s">
        <v>171</v>
      </c>
      <c r="U14" s="626"/>
    </row>
    <row r="15" spans="1:36" ht="10.5" customHeight="1">
      <c r="A15" s="59" t="s">
        <v>172</v>
      </c>
      <c r="B15" s="240">
        <v>0.41</v>
      </c>
      <c r="C15" s="60" t="str">
        <f>IF(C11=A15,Q21,"")</f>
        <v/>
      </c>
      <c r="D15" s="61" t="str">
        <f>IF(C15="","0,00 €",B15*C15)</f>
        <v>0,00 €</v>
      </c>
      <c r="E15" s="241">
        <v>0.51</v>
      </c>
      <c r="F15" s="60" t="str">
        <f>IF(C11=A15,R21,"")</f>
        <v/>
      </c>
      <c r="G15" s="61" t="str">
        <f>IF(F15="","0,00 €",E15*F15)</f>
        <v>0,00 €</v>
      </c>
      <c r="H15" s="241">
        <v>0.3</v>
      </c>
      <c r="I15" s="60" t="str">
        <f>IF(C11=A15,S21,"")</f>
        <v/>
      </c>
      <c r="J15" s="61" t="str">
        <f>IF(I15="","0,00 €",H15*I15)</f>
        <v>0,00 €</v>
      </c>
      <c r="K15" s="269">
        <f>SUM(J15,G15,D15)</f>
        <v>0</v>
      </c>
      <c r="L15" s="271"/>
      <c r="M15" s="55"/>
      <c r="N15" s="270" t="s">
        <v>173</v>
      </c>
      <c r="O15" s="270" t="s">
        <v>174</v>
      </c>
      <c r="P15" s="55"/>
      <c r="Q15" s="53"/>
      <c r="R15" s="53"/>
      <c r="S15" s="53"/>
      <c r="T15" s="53"/>
      <c r="U15" s="626"/>
      <c r="V15" s="77"/>
      <c r="W15" s="77"/>
      <c r="X15" s="77"/>
      <c r="Y15" s="77"/>
      <c r="Z15" s="77"/>
      <c r="AA15" s="77"/>
      <c r="AB15" s="77"/>
      <c r="AC15" s="77"/>
      <c r="AD15" s="77"/>
      <c r="AE15" s="77"/>
      <c r="AF15" s="77"/>
      <c r="AG15" s="77"/>
      <c r="AH15" s="77"/>
      <c r="AI15" s="77"/>
    </row>
    <row r="16" spans="1:36" ht="10.5" customHeight="1">
      <c r="A16" s="59" t="s">
        <v>175</v>
      </c>
      <c r="B16" s="240">
        <v>0.45</v>
      </c>
      <c r="C16" s="60" t="str">
        <f>IF(C11=A16,Q21,"")</f>
        <v/>
      </c>
      <c r="D16" s="61" t="str">
        <f>IF(C16="","0,00 €",B16*C16)</f>
        <v>0,00 €</v>
      </c>
      <c r="E16" s="241">
        <v>0.55000000000000004</v>
      </c>
      <c r="F16" s="60" t="str">
        <f>IF(C11=A16,R21,"")</f>
        <v/>
      </c>
      <c r="G16" s="61" t="str">
        <f>IF(F16="","0,00 €",E16*F16)</f>
        <v>0,00 €</v>
      </c>
      <c r="H16" s="242">
        <v>0.32</v>
      </c>
      <c r="I16" s="63" t="str">
        <f>IF(C11=A16,S21,"")</f>
        <v/>
      </c>
      <c r="J16" s="61" t="str">
        <f>IF(I16="","0,00 €",H16*I16)</f>
        <v>0,00 €</v>
      </c>
      <c r="K16" s="269">
        <f>SUM(J16,G16,D16)</f>
        <v>0</v>
      </c>
      <c r="L16" s="271"/>
      <c r="M16" s="64" t="s">
        <v>176</v>
      </c>
      <c r="N16" s="65"/>
      <c r="O16" s="66">
        <f>SUM(P10*N16)</f>
        <v>0</v>
      </c>
      <c r="P16" s="60">
        <f>SUM(O16)</f>
        <v>0</v>
      </c>
      <c r="Q16" s="47" t="s">
        <v>249</v>
      </c>
      <c r="U16" s="626"/>
    </row>
    <row r="17" spans="1:21" ht="10.5" customHeight="1">
      <c r="A17" s="271"/>
      <c r="B17" s="271"/>
      <c r="C17" s="271"/>
      <c r="D17" s="271"/>
      <c r="E17" s="271"/>
      <c r="F17" s="271"/>
      <c r="G17" s="271"/>
      <c r="H17" s="612" t="s">
        <v>177</v>
      </c>
      <c r="I17" s="613"/>
      <c r="J17" s="614"/>
      <c r="K17" s="67">
        <f>SUM(K14:K16)</f>
        <v>0</v>
      </c>
      <c r="L17" s="271"/>
      <c r="M17" s="64" t="s">
        <v>178</v>
      </c>
      <c r="N17" s="65"/>
      <c r="O17" s="66">
        <f>SUM(P10*N17)</f>
        <v>0</v>
      </c>
      <c r="P17" s="60">
        <f>SUM(P16+O17)</f>
        <v>0</v>
      </c>
      <c r="U17" s="626"/>
    </row>
    <row r="18" spans="1:21" ht="10.5" customHeight="1">
      <c r="A18" s="595" t="s">
        <v>251</v>
      </c>
      <c r="B18" s="595"/>
      <c r="C18" s="595"/>
      <c r="D18" s="595"/>
      <c r="E18" s="595"/>
      <c r="M18" s="64" t="s">
        <v>179</v>
      </c>
      <c r="N18" s="65"/>
      <c r="O18" s="66">
        <f>SUM(P10*N18)</f>
        <v>0</v>
      </c>
      <c r="P18" s="60">
        <f t="shared" ref="P18:P27" si="0">SUM(P17+O18)</f>
        <v>0</v>
      </c>
      <c r="U18" s="626"/>
    </row>
    <row r="19" spans="1:21" ht="10.5" customHeight="1">
      <c r="A19" s="596"/>
      <c r="B19" s="596"/>
      <c r="C19" s="596"/>
      <c r="D19" s="596"/>
      <c r="E19" s="596"/>
      <c r="M19" s="64" t="s">
        <v>183</v>
      </c>
      <c r="N19" s="65"/>
      <c r="O19" s="66">
        <f>SUM(P10*N19)</f>
        <v>0</v>
      </c>
      <c r="P19" s="60">
        <f t="shared" si="0"/>
        <v>0</v>
      </c>
      <c r="U19" s="626"/>
    </row>
    <row r="20" spans="1:21" ht="10.5" customHeight="1">
      <c r="A20" s="623"/>
      <c r="B20" s="600"/>
      <c r="C20" s="600"/>
      <c r="D20" s="60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626"/>
    </row>
    <row r="21" spans="1:21" ht="10.5" customHeight="1">
      <c r="A21" s="590" t="s">
        <v>184</v>
      </c>
      <c r="B21" s="591"/>
      <c r="C21" s="591"/>
      <c r="D21" s="592"/>
      <c r="E21" s="243">
        <v>0</v>
      </c>
      <c r="F21" s="72"/>
      <c r="G21" s="73">
        <f>SUM(E21*F21)</f>
        <v>0</v>
      </c>
      <c r="H21" s="243">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626"/>
    </row>
    <row r="22" spans="1:21" ht="10.5" customHeight="1">
      <c r="A22" s="590" t="s">
        <v>186</v>
      </c>
      <c r="B22" s="591"/>
      <c r="C22" s="591"/>
      <c r="D22" s="592"/>
      <c r="E22" s="243">
        <v>0</v>
      </c>
      <c r="F22" s="72"/>
      <c r="G22" s="73">
        <f>SUM(E22*F22)</f>
        <v>0</v>
      </c>
      <c r="H22" s="243">
        <v>0</v>
      </c>
      <c r="I22" s="72"/>
      <c r="J22" s="73">
        <f>SUM(H22*I22)</f>
        <v>0</v>
      </c>
      <c r="K22" s="62">
        <f>SUM(D22+G22+J22)</f>
        <v>0</v>
      </c>
      <c r="M22" s="64" t="s">
        <v>189</v>
      </c>
      <c r="N22" s="65"/>
      <c r="O22" s="66">
        <f>SUM(P10*N22)</f>
        <v>0</v>
      </c>
      <c r="P22" s="60">
        <f t="shared" si="0"/>
        <v>0</v>
      </c>
      <c r="U22" s="626"/>
    </row>
    <row r="23" spans="1:21" ht="10.5" customHeight="1">
      <c r="A23" s="623"/>
      <c r="B23" s="600"/>
      <c r="C23" s="600"/>
      <c r="D23" s="600"/>
      <c r="E23" s="600"/>
      <c r="F23" s="600"/>
      <c r="G23" s="601"/>
      <c r="H23" s="74" t="s">
        <v>188</v>
      </c>
      <c r="I23" s="64" t="s">
        <v>181</v>
      </c>
      <c r="J23" s="75" t="s">
        <v>0</v>
      </c>
      <c r="K23" s="76"/>
      <c r="M23" s="64" t="s">
        <v>190</v>
      </c>
      <c r="N23" s="65"/>
      <c r="O23" s="66">
        <f>SUM(P10*N23)</f>
        <v>0</v>
      </c>
      <c r="P23" s="60">
        <f t="shared" si="0"/>
        <v>0</v>
      </c>
      <c r="U23" s="626"/>
    </row>
    <row r="24" spans="1:21" ht="10.5" customHeight="1">
      <c r="A24" s="590" t="s">
        <v>425</v>
      </c>
      <c r="B24" s="591"/>
      <c r="C24" s="591"/>
      <c r="D24" s="591"/>
      <c r="E24" s="591"/>
      <c r="F24" s="591"/>
      <c r="G24" s="592"/>
      <c r="H24" s="244">
        <v>0</v>
      </c>
      <c r="I24" s="72"/>
      <c r="J24" s="73">
        <f>SUM(H24*I24)</f>
        <v>0</v>
      </c>
      <c r="K24" s="62">
        <f>SUM(J24)</f>
        <v>0</v>
      </c>
      <c r="M24" s="64" t="s">
        <v>191</v>
      </c>
      <c r="N24" s="65"/>
      <c r="O24" s="66">
        <f>SUM(P10*N24)</f>
        <v>0</v>
      </c>
      <c r="P24" s="60">
        <f t="shared" si="0"/>
        <v>0</v>
      </c>
      <c r="U24" s="626"/>
    </row>
    <row r="25" spans="1:21" ht="10.5" customHeight="1">
      <c r="A25" s="590" t="s">
        <v>196</v>
      </c>
      <c r="B25" s="591"/>
      <c r="C25" s="591"/>
      <c r="D25" s="591"/>
      <c r="E25" s="591"/>
      <c r="F25" s="591"/>
      <c r="G25" s="592"/>
      <c r="H25" s="244">
        <v>0</v>
      </c>
      <c r="I25" s="72"/>
      <c r="J25" s="73">
        <f>SUM(H25*I25)</f>
        <v>0</v>
      </c>
      <c r="K25" s="62">
        <f>SUM(J25)</f>
        <v>0</v>
      </c>
      <c r="M25" s="64" t="s">
        <v>192</v>
      </c>
      <c r="N25" s="65"/>
      <c r="O25" s="66">
        <f>SUM(P10*N25)</f>
        <v>0</v>
      </c>
      <c r="P25" s="60">
        <f t="shared" si="0"/>
        <v>0</v>
      </c>
      <c r="U25" s="626"/>
    </row>
    <row r="26" spans="1:21" ht="10.5" customHeight="1">
      <c r="A26" s="590" t="s">
        <v>195</v>
      </c>
      <c r="B26" s="591"/>
      <c r="C26" s="591"/>
      <c r="D26" s="591"/>
      <c r="E26" s="591"/>
      <c r="F26" s="591"/>
      <c r="G26" s="592"/>
      <c r="H26" s="244">
        <v>0</v>
      </c>
      <c r="I26" s="72"/>
      <c r="J26" s="73">
        <f>SUM(H26*I26)</f>
        <v>0</v>
      </c>
      <c r="K26" s="62">
        <f>SUM(J26)</f>
        <v>0</v>
      </c>
      <c r="M26" s="64" t="s">
        <v>193</v>
      </c>
      <c r="N26" s="65"/>
      <c r="O26" s="66">
        <f>SUM(P10*N26)</f>
        <v>0</v>
      </c>
      <c r="P26" s="60">
        <f t="shared" si="0"/>
        <v>0</v>
      </c>
      <c r="U26" s="626"/>
    </row>
    <row r="27" spans="1:21" ht="10.5" customHeight="1">
      <c r="A27" s="590" t="s">
        <v>197</v>
      </c>
      <c r="B27" s="591"/>
      <c r="C27" s="591"/>
      <c r="D27" s="591"/>
      <c r="E27" s="591"/>
      <c r="F27" s="591"/>
      <c r="G27" s="592"/>
      <c r="H27" s="244">
        <v>0</v>
      </c>
      <c r="I27" s="72"/>
      <c r="J27" s="73">
        <f>SUM(H27*I27)</f>
        <v>0</v>
      </c>
      <c r="K27" s="62">
        <f>SUM(J27)</f>
        <v>0</v>
      </c>
      <c r="M27" s="64" t="s">
        <v>194</v>
      </c>
      <c r="N27" s="65"/>
      <c r="O27" s="66">
        <f>SUM(P10*N27)</f>
        <v>0</v>
      </c>
      <c r="P27" s="60">
        <f t="shared" si="0"/>
        <v>0</v>
      </c>
      <c r="U27" s="626"/>
    </row>
    <row r="28" spans="1:21" ht="10.5" customHeight="1">
      <c r="H28" s="612" t="s">
        <v>198</v>
      </c>
      <c r="I28" s="613"/>
      <c r="J28" s="614"/>
      <c r="K28" s="67">
        <f>SUM(K21:K27)</f>
        <v>0</v>
      </c>
      <c r="M28" s="78" t="s">
        <v>162</v>
      </c>
      <c r="N28" s="79">
        <f>SUM(N16:N27)</f>
        <v>0</v>
      </c>
      <c r="O28" s="80">
        <f>SUM(O16:O27)</f>
        <v>0</v>
      </c>
      <c r="P28" s="81">
        <f>SUM(P27)</f>
        <v>0</v>
      </c>
      <c r="U28" s="626"/>
    </row>
    <row r="29" spans="1:21" ht="10.5" customHeight="1">
      <c r="A29" s="595" t="s">
        <v>199</v>
      </c>
      <c r="B29" s="595"/>
      <c r="C29" s="595"/>
      <c r="D29" s="595"/>
      <c r="E29" s="595"/>
      <c r="U29" s="626"/>
    </row>
    <row r="30" spans="1:21" ht="10.5" customHeight="1">
      <c r="A30" s="596"/>
      <c r="B30" s="596"/>
      <c r="C30" s="596"/>
      <c r="D30" s="596"/>
      <c r="E30" s="596"/>
      <c r="F30" s="272" t="s">
        <v>476</v>
      </c>
      <c r="G30" s="48"/>
      <c r="H30" s="48"/>
      <c r="I30" s="48"/>
      <c r="J30" s="48"/>
      <c r="K30" s="48"/>
      <c r="U30" s="626"/>
    </row>
    <row r="31" spans="1:21" ht="10.5" customHeight="1">
      <c r="A31" s="623"/>
      <c r="B31" s="600"/>
      <c r="C31" s="600"/>
      <c r="D31" s="601"/>
      <c r="E31" s="599" t="s">
        <v>200</v>
      </c>
      <c r="F31" s="600"/>
      <c r="G31" s="601"/>
      <c r="H31" s="599" t="s">
        <v>201</v>
      </c>
      <c r="I31" s="600"/>
      <c r="J31" s="601"/>
      <c r="K31" s="597" t="s">
        <v>162</v>
      </c>
      <c r="M31" s="621" t="s">
        <v>170</v>
      </c>
      <c r="N31" s="623" t="s">
        <v>203</v>
      </c>
      <c r="O31" s="624"/>
      <c r="P31" s="610" t="s">
        <v>171</v>
      </c>
      <c r="U31" s="626"/>
    </row>
    <row r="32" spans="1:21" ht="10.5" customHeight="1">
      <c r="A32" s="263"/>
      <c r="B32" s="260"/>
      <c r="C32" s="260"/>
      <c r="D32" s="262"/>
      <c r="E32" s="68" t="s">
        <v>202</v>
      </c>
      <c r="F32" s="69" t="s">
        <v>181</v>
      </c>
      <c r="G32" s="70" t="s">
        <v>0</v>
      </c>
      <c r="H32" s="68" t="s">
        <v>202</v>
      </c>
      <c r="I32" s="69" t="s">
        <v>181</v>
      </c>
      <c r="J32" s="70" t="s">
        <v>0</v>
      </c>
      <c r="K32" s="598"/>
      <c r="M32" s="622"/>
      <c r="N32" s="64" t="s">
        <v>217</v>
      </c>
      <c r="O32" s="64" t="s">
        <v>218</v>
      </c>
      <c r="P32" s="611"/>
      <c r="U32" s="626"/>
    </row>
    <row r="33" spans="1:21" ht="10.5" customHeight="1">
      <c r="A33" s="590" t="s">
        <v>323</v>
      </c>
      <c r="B33" s="591"/>
      <c r="C33" s="591"/>
      <c r="D33" s="592"/>
      <c r="E33" s="241">
        <f>SUM(H33/2)</f>
        <v>60</v>
      </c>
      <c r="F33" s="245">
        <v>0</v>
      </c>
      <c r="G33" s="73">
        <f>SUM(E33*F33)</f>
        <v>0</v>
      </c>
      <c r="H33" s="241">
        <v>120</v>
      </c>
      <c r="I33" s="245">
        <v>0</v>
      </c>
      <c r="J33" s="73">
        <f>SUM(H33*I33)</f>
        <v>0</v>
      </c>
      <c r="K33" s="62">
        <f>SUM(G33+J33)</f>
        <v>0</v>
      </c>
      <c r="M33" s="64" t="s">
        <v>176</v>
      </c>
      <c r="N33" s="72"/>
      <c r="O33" s="72"/>
      <c r="P33" s="60">
        <f>SUM(N33:O33)</f>
        <v>0</v>
      </c>
      <c r="U33" s="626"/>
    </row>
    <row r="34" spans="1:21" ht="10.5" customHeight="1">
      <c r="A34" s="590" t="s">
        <v>324</v>
      </c>
      <c r="B34" s="591"/>
      <c r="C34" s="591"/>
      <c r="D34" s="592"/>
      <c r="E34" s="241">
        <f>SUM(H34/2)</f>
        <v>54</v>
      </c>
      <c r="F34" s="245">
        <v>0</v>
      </c>
      <c r="G34" s="73">
        <f>SUM(E34*F34)</f>
        <v>0</v>
      </c>
      <c r="H34" s="241">
        <f>SUM(H33)-(H33*10%)</f>
        <v>108</v>
      </c>
      <c r="I34" s="245">
        <v>0</v>
      </c>
      <c r="J34" s="73">
        <f>SUM(H34*I34)</f>
        <v>0</v>
      </c>
      <c r="K34" s="62">
        <f>SUM(G34+J34)</f>
        <v>0</v>
      </c>
      <c r="M34" s="64" t="s">
        <v>178</v>
      </c>
      <c r="N34" s="72"/>
      <c r="O34" s="72"/>
      <c r="P34" s="60">
        <f>SUM(P33+N34+O34)</f>
        <v>0</v>
      </c>
      <c r="U34" s="626"/>
    </row>
    <row r="35" spans="1:21" ht="10.5" customHeight="1">
      <c r="A35" s="590" t="s">
        <v>325</v>
      </c>
      <c r="B35" s="591"/>
      <c r="C35" s="591"/>
      <c r="D35" s="592"/>
      <c r="E35" s="241">
        <f>SUM(H35/2)</f>
        <v>48</v>
      </c>
      <c r="F35" s="245">
        <v>0</v>
      </c>
      <c r="G35" s="73">
        <f>SUM(E35*F35)</f>
        <v>0</v>
      </c>
      <c r="H35" s="241">
        <f>SUM(H33)-(H33*20%)</f>
        <v>96</v>
      </c>
      <c r="I35" s="245">
        <v>0</v>
      </c>
      <c r="J35" s="73">
        <f>SUM(H35*I35)</f>
        <v>0</v>
      </c>
      <c r="K35" s="62">
        <f>SUM(G35+J35)</f>
        <v>0</v>
      </c>
      <c r="M35" s="64" t="s">
        <v>179</v>
      </c>
      <c r="N35" s="72"/>
      <c r="O35" s="72"/>
      <c r="P35" s="60">
        <f t="shared" ref="P35:P39" si="1">SUM(P34+N35+O35)</f>
        <v>0</v>
      </c>
      <c r="U35" s="626"/>
    </row>
    <row r="36" spans="1:21" ht="10.5" customHeight="1">
      <c r="A36" s="590" t="s">
        <v>326</v>
      </c>
      <c r="B36" s="591"/>
      <c r="C36" s="591"/>
      <c r="D36" s="592"/>
      <c r="E36" s="241">
        <f>SUM(H36/2)</f>
        <v>36</v>
      </c>
      <c r="F36" s="245">
        <v>0</v>
      </c>
      <c r="G36" s="73">
        <f>SUM(E36*F36)</f>
        <v>0</v>
      </c>
      <c r="H36" s="241">
        <f>SUM(H33)-(H33*40%)</f>
        <v>72</v>
      </c>
      <c r="I36" s="245">
        <v>0</v>
      </c>
      <c r="J36" s="73">
        <f>SUM(H36*I36)</f>
        <v>0</v>
      </c>
      <c r="K36" s="62">
        <f>SUM(G36+J36)</f>
        <v>0</v>
      </c>
      <c r="M36" s="64" t="s">
        <v>183</v>
      </c>
      <c r="N36" s="72"/>
      <c r="O36" s="72"/>
      <c r="P36" s="60">
        <f t="shared" si="1"/>
        <v>0</v>
      </c>
      <c r="U36" s="626"/>
    </row>
    <row r="37" spans="1:21" ht="10.5" customHeight="1">
      <c r="A37" s="258"/>
      <c r="B37" s="259"/>
      <c r="C37" s="259"/>
      <c r="D37" s="259"/>
      <c r="E37" s="259"/>
      <c r="F37" s="259"/>
      <c r="G37" s="259"/>
      <c r="H37" s="82" t="s">
        <v>204</v>
      </c>
      <c r="I37" s="69" t="s">
        <v>181</v>
      </c>
      <c r="J37" s="70" t="s">
        <v>0</v>
      </c>
      <c r="K37" s="83"/>
      <c r="M37" s="64" t="s">
        <v>185</v>
      </c>
      <c r="N37" s="72"/>
      <c r="O37" s="72"/>
      <c r="P37" s="60">
        <f t="shared" si="1"/>
        <v>0</v>
      </c>
      <c r="U37" s="626"/>
    </row>
    <row r="38" spans="1:21" ht="10.5" customHeight="1">
      <c r="A38" s="590" t="s">
        <v>389</v>
      </c>
      <c r="B38" s="591"/>
      <c r="C38" s="591"/>
      <c r="D38" s="591"/>
      <c r="E38" s="591"/>
      <c r="F38" s="591"/>
      <c r="G38" s="592"/>
      <c r="H38" s="243">
        <v>0</v>
      </c>
      <c r="I38" s="245">
        <v>0</v>
      </c>
      <c r="J38" s="73">
        <f>SUM(H38*I38)</f>
        <v>0</v>
      </c>
      <c r="K38" s="62">
        <f>SUM(G38+J38)</f>
        <v>0</v>
      </c>
      <c r="M38" s="64" t="s">
        <v>187</v>
      </c>
      <c r="N38" s="72"/>
      <c r="O38" s="72"/>
      <c r="P38" s="60">
        <f t="shared" si="1"/>
        <v>0</v>
      </c>
      <c r="U38" s="626"/>
    </row>
    <row r="39" spans="1:21" ht="10.5" customHeight="1">
      <c r="A39" s="84"/>
      <c r="B39" s="84"/>
      <c r="C39" s="84"/>
      <c r="D39" s="84"/>
      <c r="E39" s="85"/>
      <c r="G39" s="86"/>
      <c r="H39" s="612" t="s">
        <v>205</v>
      </c>
      <c r="I39" s="613"/>
      <c r="J39" s="614"/>
      <c r="K39" s="67">
        <f>SUM(K33:K38)</f>
        <v>0</v>
      </c>
      <c r="M39" s="64" t="s">
        <v>189</v>
      </c>
      <c r="N39" s="72"/>
      <c r="O39" s="72"/>
      <c r="P39" s="60">
        <f t="shared" si="1"/>
        <v>0</v>
      </c>
      <c r="U39" s="626"/>
    </row>
    <row r="40" spans="1:21" ht="10.5" customHeight="1">
      <c r="A40" s="595" t="s">
        <v>206</v>
      </c>
      <c r="B40" s="595"/>
      <c r="C40" s="595"/>
      <c r="D40" s="595"/>
      <c r="E40" s="595"/>
      <c r="M40" s="64" t="s">
        <v>190</v>
      </c>
      <c r="N40" s="72"/>
      <c r="O40" s="72"/>
      <c r="P40" s="60">
        <f>SUM(P39+N40+O40)</f>
        <v>0</v>
      </c>
    </row>
    <row r="41" spans="1:21" ht="10.5" customHeight="1">
      <c r="A41" s="596"/>
      <c r="B41" s="596"/>
      <c r="C41" s="596"/>
      <c r="D41" s="596"/>
      <c r="E41" s="596"/>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0">
        <v>20</v>
      </c>
      <c r="C43" s="72"/>
      <c r="D43" s="73">
        <f>SUM(B43*C43)</f>
        <v>0</v>
      </c>
      <c r="E43" s="241">
        <f>SUM(B43/2)</f>
        <v>10</v>
      </c>
      <c r="F43" s="245"/>
      <c r="G43" s="73">
        <f>SUM(E43*F43)</f>
        <v>0</v>
      </c>
      <c r="H43" s="615">
        <v>320</v>
      </c>
      <c r="I43" s="617">
        <v>0</v>
      </c>
      <c r="J43" s="619">
        <f>SUM(H43*I43)</f>
        <v>0</v>
      </c>
      <c r="K43" s="62">
        <f>SUM(J43,G43,D43)</f>
        <v>0</v>
      </c>
      <c r="M43" s="64" t="s">
        <v>193</v>
      </c>
      <c r="N43" s="72"/>
      <c r="O43" s="72"/>
      <c r="P43" s="60">
        <f>SUM(P42+N43+O43)</f>
        <v>0</v>
      </c>
    </row>
    <row r="44" spans="1:21" ht="10.5" customHeight="1">
      <c r="A44" s="64" t="s">
        <v>211</v>
      </c>
      <c r="B44" s="240">
        <v>20</v>
      </c>
      <c r="C44" s="72"/>
      <c r="D44" s="73">
        <f>SUM(B44*C44)</f>
        <v>0</v>
      </c>
      <c r="E44" s="593" t="s">
        <v>252</v>
      </c>
      <c r="F44" s="594"/>
      <c r="G44" s="87">
        <v>0</v>
      </c>
      <c r="H44" s="616"/>
      <c r="I44" s="618"/>
      <c r="J44" s="620"/>
      <c r="K44" s="62">
        <f>SUM(D44+G44+J44)</f>
        <v>0</v>
      </c>
      <c r="M44" s="64" t="s">
        <v>194</v>
      </c>
      <c r="N44" s="72"/>
      <c r="O44" s="72"/>
      <c r="P44" s="60">
        <f>SUM(P43+N44+O44)</f>
        <v>0</v>
      </c>
    </row>
    <row r="45" spans="1:21" ht="10.5" customHeight="1">
      <c r="H45" s="612" t="s">
        <v>212</v>
      </c>
      <c r="I45" s="613"/>
      <c r="J45" s="614"/>
      <c r="K45" s="67">
        <f>SUM(K43:K44)</f>
        <v>0</v>
      </c>
      <c r="M45" s="88" t="s">
        <v>162</v>
      </c>
      <c r="N45" s="88">
        <f>SUM(N34:N44)</f>
        <v>0</v>
      </c>
      <c r="O45" s="88">
        <f>SUM(O34:O44)</f>
        <v>0</v>
      </c>
      <c r="P45" s="81">
        <f>SUM(P44)</f>
        <v>0</v>
      </c>
    </row>
    <row r="46" spans="1:21" ht="10.5" customHeight="1">
      <c r="H46" s="612" t="s">
        <v>213</v>
      </c>
      <c r="I46" s="613"/>
      <c r="J46" s="614"/>
      <c r="K46" s="67">
        <f>SUM(K17+K28+K39+K45)</f>
        <v>0</v>
      </c>
    </row>
  </sheetData>
  <sheetProtection algorithmName="SHA-512" hashValue="BmIV19Kh5fGyuDrfsFpapCWFvYPGPaxoEFDL3z7xhE5VTkeKMv8Ye8d8XDZoM62veEfo39DQ4FfkqgjhHVbPXg==" saltValue="R2f+CAZp/Ogy7uag3GHBeQ==" spinCount="100000" sheet="1" objects="1" scenarios="1"/>
  <dataConsolidate/>
  <mergeCells count="48">
    <mergeCell ref="A8:D8"/>
    <mergeCell ref="E8:G8"/>
    <mergeCell ref="J8:L8"/>
    <mergeCell ref="A9:D9"/>
    <mergeCell ref="E9:G9"/>
    <mergeCell ref="J9:L9"/>
    <mergeCell ref="H45:J45"/>
    <mergeCell ref="H46:J46"/>
    <mergeCell ref="A35:D35"/>
    <mergeCell ref="A36:D36"/>
    <mergeCell ref="A38:G38"/>
    <mergeCell ref="H39:J39"/>
    <mergeCell ref="A40:E41"/>
    <mergeCell ref="H43:H44"/>
    <mergeCell ref="I43:I44"/>
    <mergeCell ref="J43:J44"/>
    <mergeCell ref="E44:F44"/>
    <mergeCell ref="K31:K32"/>
    <mergeCell ref="M31:M32"/>
    <mergeCell ref="N31:O31"/>
    <mergeCell ref="P31:P32"/>
    <mergeCell ref="A33:D33"/>
    <mergeCell ref="H28:J28"/>
    <mergeCell ref="A29:E30"/>
    <mergeCell ref="A31:D31"/>
    <mergeCell ref="E31:G31"/>
    <mergeCell ref="H31:J31"/>
    <mergeCell ref="E23:G23"/>
    <mergeCell ref="A34:D34"/>
    <mergeCell ref="A25:G25"/>
    <mergeCell ref="A26:G26"/>
    <mergeCell ref="A27:G27"/>
    <mergeCell ref="I3:P4"/>
    <mergeCell ref="U1:U39"/>
    <mergeCell ref="A2:K2"/>
    <mergeCell ref="L2:P2"/>
    <mergeCell ref="A4:E4"/>
    <mergeCell ref="A24:G24"/>
    <mergeCell ref="A10:O10"/>
    <mergeCell ref="C11:D11"/>
    <mergeCell ref="M12:P13"/>
    <mergeCell ref="N14:O14"/>
    <mergeCell ref="H17:J17"/>
    <mergeCell ref="A18:E19"/>
    <mergeCell ref="A20:D20"/>
    <mergeCell ref="A21:D21"/>
    <mergeCell ref="A22:D22"/>
    <mergeCell ref="A23:D23"/>
  </mergeCells>
  <dataValidations count="4">
    <dataValidation type="whole" allowBlank="1" showInputMessage="1" showErrorMessage="1" error="Vous devez saisir un nombre entier" sqref="P8:P9" xr:uid="{00000000-0002-0000-0700-000000000000}">
      <formula1>0</formula1>
      <formula2>1000</formula2>
    </dataValidation>
    <dataValidation type="whole" operator="lessThan" allowBlank="1" showInputMessage="1" showErrorMessage="1" error="Prise en charge à concurrence de 11 mois par an maximum" sqref="I43:I44" xr:uid="{00000000-0002-0000-0700-000001000000}">
      <formula1>12</formula1>
    </dataValidation>
    <dataValidation type="whole" operator="lessThan" allowBlank="1" showInputMessage="1" showErrorMessage="1" error="Prise en charge à concurrence de 11 mois maximum" sqref="I38" xr:uid="{00000000-0002-0000-0700-000002000000}">
      <formula1>12</formula1>
    </dataValidation>
    <dataValidation type="list" allowBlank="1" showInputMessage="1" showErrorMessage="1" sqref="C11" xr:uid="{00000000-0002-0000-0700-000003000000}">
      <formula1>$Q$20:$T$20</formula1>
    </dataValidation>
  </dataValidations>
  <hyperlinks>
    <hyperlink ref="K11" r:id="rId1" xr:uid="{00000000-0004-0000-0700-000000000000}"/>
    <hyperlink ref="F30" r:id="rId2" xr:uid="{00000000-0004-0000-07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tabColor theme="0" tint="-0.249977111117893"/>
    <pageSetUpPr fitToPage="1"/>
  </sheetPr>
  <dimension ref="A1:T124"/>
  <sheetViews>
    <sheetView topLeftCell="A2" zoomScale="85" zoomScaleNormal="85" workbookViewId="0">
      <selection activeCell="C14" sqref="C14"/>
    </sheetView>
  </sheetViews>
  <sheetFormatPr baseColWidth="10" defaultColWidth="8.77734375" defaultRowHeight="13.8"/>
  <cols>
    <col min="1" max="2" width="12.77734375" style="13" customWidth="1"/>
    <col min="3" max="3" width="9" style="13" customWidth="1"/>
    <col min="4" max="4" width="10.77734375" style="13" customWidth="1"/>
    <col min="5" max="5" width="9" style="13" customWidth="1"/>
    <col min="6" max="6" width="10.77734375" style="13" customWidth="1"/>
    <col min="7" max="7" width="9" style="13" customWidth="1"/>
    <col min="8" max="8" width="10.77734375" style="13" customWidth="1"/>
    <col min="9" max="9" width="9" style="13" customWidth="1"/>
    <col min="10" max="10" width="10.77734375" style="13" customWidth="1"/>
    <col min="11" max="11" width="13.21875" style="13" customWidth="1"/>
    <col min="12" max="12" width="17.77734375" style="168" customWidth="1"/>
    <col min="13" max="15" width="14.77734375" style="167" bestFit="1" customWidth="1"/>
    <col min="16" max="20" width="8.77734375" style="167"/>
    <col min="21" max="16384" width="8.77734375" style="13"/>
  </cols>
  <sheetData>
    <row r="1" spans="1:20" ht="90" customHeight="1">
      <c r="A1" s="633"/>
      <c r="B1" s="633"/>
      <c r="C1" s="633"/>
      <c r="D1" s="633"/>
      <c r="E1" s="633"/>
      <c r="F1" s="633"/>
      <c r="G1" s="633"/>
      <c r="H1" s="633"/>
      <c r="I1" s="633"/>
      <c r="J1" s="633"/>
      <c r="K1" s="633"/>
    </row>
    <row r="2" spans="1:20" s="91" customFormat="1" ht="18" customHeight="1">
      <c r="A2" s="582" t="s">
        <v>427</v>
      </c>
      <c r="B2" s="582"/>
      <c r="C2" s="582"/>
      <c r="D2" s="582"/>
      <c r="E2" s="582"/>
      <c r="F2" s="582"/>
      <c r="G2" s="582"/>
      <c r="H2" s="582"/>
      <c r="I2" s="582"/>
      <c r="J2" s="582"/>
      <c r="K2" s="582"/>
      <c r="L2" s="283"/>
      <c r="M2" s="160"/>
      <c r="N2" s="160"/>
      <c r="O2" s="160"/>
      <c r="P2" s="160"/>
      <c r="Q2" s="160"/>
      <c r="R2" s="160"/>
      <c r="S2" s="160"/>
      <c r="T2" s="160"/>
    </row>
    <row r="3" spans="1:20" s="91" customFormat="1" ht="18" customHeight="1">
      <c r="A3" s="637" t="str">
        <f>IF(DAPEC!A3&lt;&gt;"SELECTIONNER VOTRE ETABLISSEMENT DANS LA LISTE",DAPEC!A3,"Veuillez sélectionner votre établissement onglet DAPEC ligne 3")</f>
        <v>Veuillez sélectionner votre établissement onglet DAPEC ligne 3</v>
      </c>
      <c r="B3" s="637"/>
      <c r="C3" s="637"/>
      <c r="D3" s="637"/>
      <c r="E3" s="637"/>
      <c r="F3" s="637"/>
      <c r="G3" s="637"/>
      <c r="H3" s="637"/>
      <c r="I3" s="637"/>
      <c r="J3" s="637"/>
      <c r="K3" s="637"/>
      <c r="L3" s="283"/>
      <c r="M3" s="160"/>
      <c r="N3" s="160"/>
      <c r="O3" s="160"/>
      <c r="P3" s="160"/>
      <c r="Q3" s="160"/>
      <c r="R3" s="160"/>
      <c r="S3" s="160"/>
      <c r="T3" s="160"/>
    </row>
    <row r="4" spans="1:20" s="91" customFormat="1" ht="18" customHeight="1">
      <c r="A4" s="582" t="s">
        <v>428</v>
      </c>
      <c r="B4" s="582"/>
      <c r="C4" s="582"/>
      <c r="D4" s="582"/>
      <c r="E4" s="582"/>
      <c r="F4" s="582"/>
      <c r="G4" s="582"/>
      <c r="H4" s="582"/>
      <c r="I4" s="582"/>
      <c r="J4" s="582"/>
      <c r="K4" s="582"/>
      <c r="L4" s="283"/>
      <c r="M4" s="160"/>
      <c r="N4" s="160"/>
      <c r="O4" s="160"/>
      <c r="P4" s="160"/>
      <c r="Q4" s="160"/>
      <c r="R4" s="160"/>
      <c r="S4" s="160"/>
      <c r="T4" s="160"/>
    </row>
    <row r="5" spans="1:20" s="91" customFormat="1" ht="18" customHeight="1">
      <c r="A5" s="637" t="str">
        <f>IF(DAPEC!B11="","Onglet DAPEC ligne 10",DAPEC!B11)</f>
        <v>Onglet DAPEC ligne 10</v>
      </c>
      <c r="B5" s="637"/>
      <c r="C5" s="637"/>
      <c r="D5" s="637"/>
      <c r="E5" s="637"/>
      <c r="F5" s="637" t="str">
        <f>IF(DAPEC!B13="Sélectionner le grade dans la liste","Onglet DAPEC ligne 12",DAPEC!B13)</f>
        <v>Onglet DAPEC ligne 12</v>
      </c>
      <c r="G5" s="637"/>
      <c r="H5" s="637"/>
      <c r="I5" s="637"/>
      <c r="J5" s="637"/>
      <c r="K5" s="637"/>
      <c r="L5" s="283"/>
      <c r="M5" s="160"/>
      <c r="N5" s="160"/>
      <c r="O5" s="160"/>
      <c r="P5" s="160"/>
      <c r="Q5" s="160"/>
      <c r="R5" s="160"/>
      <c r="S5" s="160"/>
      <c r="T5" s="160"/>
    </row>
    <row r="6" spans="1:20" s="91" customFormat="1" ht="18" customHeight="1">
      <c r="A6" s="582" t="s">
        <v>429</v>
      </c>
      <c r="B6" s="582"/>
      <c r="C6" s="582"/>
      <c r="D6" s="582"/>
      <c r="E6" s="582"/>
      <c r="F6" s="582"/>
      <c r="G6" s="582"/>
      <c r="H6" s="582"/>
      <c r="I6" s="582"/>
      <c r="J6" s="582"/>
      <c r="K6" s="582"/>
      <c r="L6" s="283"/>
      <c r="M6" s="160"/>
      <c r="N6" s="160"/>
      <c r="O6" s="160"/>
      <c r="P6" s="160"/>
      <c r="Q6" s="160"/>
      <c r="R6" s="160"/>
      <c r="S6" s="160"/>
      <c r="T6" s="160"/>
    </row>
    <row r="7" spans="1:20" s="91" customFormat="1" ht="36" customHeight="1">
      <c r="A7" s="583" t="str">
        <f>IF(DAPEC!A17="SELECTIONNER L'ÉTUDE PROMOTIONNELLE DANS LA LISTE","Veuillez sélectionner l'EP onglet DAPEC ligne 18",DAPEC!A17)</f>
        <v>Veuillez sélectionner l'EP onglet DAPEC ligne 18</v>
      </c>
      <c r="B7" s="583"/>
      <c r="C7" s="583"/>
      <c r="D7" s="583"/>
      <c r="E7" s="583"/>
      <c r="F7" s="583"/>
      <c r="G7" s="583"/>
      <c r="H7" s="583"/>
      <c r="I7" s="583"/>
      <c r="J7" s="583"/>
      <c r="K7" s="583"/>
      <c r="L7" s="283"/>
      <c r="M7" s="160"/>
      <c r="N7" s="160"/>
      <c r="O7" s="160"/>
      <c r="P7" s="160"/>
      <c r="Q7" s="160"/>
      <c r="R7" s="160"/>
      <c r="S7" s="160"/>
      <c r="T7" s="160"/>
    </row>
    <row r="8" spans="1:20" s="91" customFormat="1" ht="18" customHeight="1">
      <c r="A8" s="581" t="s">
        <v>430</v>
      </c>
      <c r="B8" s="581"/>
      <c r="C8" s="583" t="str">
        <f>IF(DAPEC!E15="Choisir","",DAPEC!E15)</f>
        <v/>
      </c>
      <c r="D8" s="583"/>
      <c r="E8" s="583"/>
      <c r="F8" s="581" t="s">
        <v>431</v>
      </c>
      <c r="G8" s="581"/>
      <c r="H8" s="581"/>
      <c r="I8" s="581"/>
      <c r="J8" s="274" t="str">
        <f>IF(C8="","",IF(C8="En discontinu",DAPEC!E19+DAPEC!E20,VLOOKUP(A7,A64:M94,12)))</f>
        <v/>
      </c>
      <c r="K8" s="274" t="str">
        <f>IF(C8="","","heures")</f>
        <v/>
      </c>
      <c r="L8" s="283"/>
      <c r="M8" s="160"/>
      <c r="N8" s="160"/>
      <c r="O8" s="160"/>
      <c r="P8" s="160"/>
      <c r="Q8" s="160"/>
      <c r="R8" s="160"/>
      <c r="S8" s="160"/>
      <c r="T8" s="160"/>
    </row>
    <row r="9" spans="1:20" s="91" customFormat="1" ht="18" customHeight="1">
      <c r="A9" s="582" t="s">
        <v>432</v>
      </c>
      <c r="B9" s="582"/>
      <c r="C9" s="582"/>
      <c r="D9" s="582"/>
      <c r="E9" s="582"/>
      <c r="F9" s="582"/>
      <c r="G9" s="582"/>
      <c r="H9" s="582"/>
      <c r="I9" s="582"/>
      <c r="J9" s="582"/>
      <c r="K9" s="582"/>
      <c r="L9" s="283"/>
      <c r="M9" s="160"/>
      <c r="N9" s="160"/>
      <c r="O9" s="160"/>
      <c r="P9" s="160"/>
      <c r="Q9" s="160"/>
      <c r="R9" s="160"/>
      <c r="S9" s="160"/>
      <c r="T9" s="160"/>
    </row>
    <row r="10" spans="1:20" s="91" customFormat="1" ht="18" customHeight="1">
      <c r="A10" s="653" t="str">
        <f>IF(C8="","",IF(C8="En discontinu",J8,IF(C8="En continu",VLOOKUP(A7,A64:M94,13),VLOOKUP(A7,DAPEC!A61:K91,12))))</f>
        <v/>
      </c>
      <c r="B10" s="653"/>
      <c r="C10" s="653"/>
      <c r="D10" s="653"/>
      <c r="E10" s="653"/>
      <c r="F10" s="654" t="str">
        <f>IF(C8="","",IF(C8="En continu","mois de salaire","heures de formation"))</f>
        <v/>
      </c>
      <c r="G10" s="654"/>
      <c r="H10" s="654"/>
      <c r="I10" s="654"/>
      <c r="J10" s="654"/>
      <c r="K10" s="654"/>
      <c r="L10" s="283"/>
      <c r="M10" s="160"/>
      <c r="N10" s="160"/>
      <c r="O10" s="160"/>
      <c r="P10" s="160"/>
      <c r="Q10" s="160"/>
      <c r="R10" s="160"/>
      <c r="S10" s="160"/>
      <c r="T10" s="160"/>
    </row>
    <row r="11" spans="1:20" s="92" customFormat="1" ht="18" customHeight="1" thickBot="1">
      <c r="A11" s="636"/>
      <c r="B11" s="636"/>
      <c r="C11" s="636"/>
      <c r="D11" s="636"/>
      <c r="E11" s="636"/>
      <c r="F11" s="636"/>
      <c r="G11" s="636"/>
      <c r="H11" s="636"/>
      <c r="I11" s="636"/>
      <c r="J11" s="636"/>
      <c r="K11" s="636"/>
      <c r="L11" s="284"/>
      <c r="M11" s="285"/>
      <c r="N11" s="285"/>
      <c r="O11" s="285"/>
      <c r="P11" s="285"/>
      <c r="Q11" s="285"/>
      <c r="R11" s="285"/>
      <c r="S11" s="285"/>
      <c r="T11" s="285"/>
    </row>
    <row r="12" spans="1:20" s="93" customFormat="1" ht="18" customHeight="1">
      <c r="A12" s="643" t="s">
        <v>433</v>
      </c>
      <c r="B12" s="644"/>
      <c r="C12" s="130" t="s">
        <v>336</v>
      </c>
      <c r="D12" s="131"/>
      <c r="E12" s="130" t="s">
        <v>336</v>
      </c>
      <c r="F12" s="132"/>
      <c r="G12" s="130" t="s">
        <v>336</v>
      </c>
      <c r="H12" s="132"/>
      <c r="I12" s="130" t="s">
        <v>336</v>
      </c>
      <c r="J12" s="132"/>
      <c r="K12" s="634" t="s">
        <v>24</v>
      </c>
      <c r="L12" s="284"/>
      <c r="M12" s="163"/>
      <c r="N12" s="163"/>
      <c r="O12" s="163"/>
      <c r="P12" s="163"/>
      <c r="Q12" s="163"/>
      <c r="R12" s="163"/>
      <c r="S12" s="163"/>
      <c r="T12" s="163"/>
    </row>
    <row r="13" spans="1:20" s="93" customFormat="1" ht="36" customHeight="1" thickBot="1">
      <c r="A13" s="645"/>
      <c r="B13" s="646"/>
      <c r="C13" s="125">
        <v>2025</v>
      </c>
      <c r="D13" s="126" t="s">
        <v>0</v>
      </c>
      <c r="E13" s="125">
        <v>2026</v>
      </c>
      <c r="F13" s="127" t="s">
        <v>0</v>
      </c>
      <c r="G13" s="125">
        <v>2027</v>
      </c>
      <c r="H13" s="127" t="s">
        <v>0</v>
      </c>
      <c r="I13" s="125">
        <v>2028</v>
      </c>
      <c r="J13" s="127" t="s">
        <v>0</v>
      </c>
      <c r="K13" s="635"/>
      <c r="L13" s="286"/>
      <c r="M13" s="287"/>
      <c r="N13" s="163"/>
      <c r="O13" s="163"/>
      <c r="P13" s="163"/>
      <c r="Q13" s="163"/>
      <c r="R13" s="163"/>
      <c r="S13" s="163"/>
      <c r="T13" s="163"/>
    </row>
    <row r="14" spans="1:20" s="94" customFormat="1" ht="18" customHeight="1" thickBot="1">
      <c r="A14" s="640" t="str">
        <f>IF(C8="En continu",VLOOKUP(F5,A104:B118,2),"")</f>
        <v/>
      </c>
      <c r="B14" s="641"/>
      <c r="C14" s="298"/>
      <c r="D14" s="279" t="str">
        <f>IF(A14="","",SUM(A14*C14))</f>
        <v/>
      </c>
      <c r="E14" s="298"/>
      <c r="F14" s="279" t="str">
        <f>IF(A14="","",SUM(A14*E14))</f>
        <v/>
      </c>
      <c r="G14" s="298"/>
      <c r="H14" s="279" t="str">
        <f>IF(A14="","",SUM(A14*G14))</f>
        <v/>
      </c>
      <c r="I14" s="298"/>
      <c r="J14" s="279" t="str">
        <f>IF(A14="","",SUM(A14*I14))</f>
        <v/>
      </c>
      <c r="K14" s="280" t="str">
        <f>IF(A14="","",SUM(D14+F14+H14+J14))</f>
        <v/>
      </c>
      <c r="L14" s="288"/>
      <c r="M14" s="289"/>
      <c r="N14" s="289"/>
      <c r="O14" s="289"/>
      <c r="P14" s="164"/>
      <c r="Q14" s="164"/>
      <c r="R14" s="164"/>
      <c r="S14" s="164"/>
      <c r="T14" s="164"/>
    </row>
    <row r="15" spans="1:20" s="94" customFormat="1" ht="18" customHeight="1">
      <c r="A15" s="281"/>
      <c r="B15" s="281"/>
      <c r="C15" s="282"/>
      <c r="D15" s="277"/>
      <c r="E15" s="282"/>
      <c r="F15" s="277"/>
      <c r="G15" s="282"/>
      <c r="H15" s="277"/>
      <c r="I15" s="282"/>
      <c r="J15" s="277"/>
      <c r="K15" s="278"/>
      <c r="L15" s="290"/>
      <c r="M15" s="291"/>
      <c r="N15" s="291"/>
      <c r="O15" s="291"/>
      <c r="P15" s="164"/>
      <c r="Q15" s="164"/>
      <c r="R15" s="164"/>
      <c r="S15" s="164"/>
      <c r="T15" s="164"/>
    </row>
    <row r="16" spans="1:20" s="94" customFormat="1" ht="18" customHeight="1">
      <c r="A16" s="639" t="str">
        <f>IF(AND(C8="En continu",A10&gt;15),"Prise en charge d'une durée de 11 mois par année de formation.","")</f>
        <v/>
      </c>
      <c r="B16" s="639"/>
      <c r="C16" s="639"/>
      <c r="D16" s="639"/>
      <c r="E16" s="639"/>
      <c r="F16" s="639"/>
      <c r="G16" s="639"/>
      <c r="H16" s="639"/>
      <c r="I16" s="639"/>
      <c r="J16" s="639"/>
      <c r="K16" s="639"/>
      <c r="L16" s="290"/>
      <c r="M16" s="291"/>
      <c r="N16" s="291"/>
      <c r="O16" s="291"/>
      <c r="P16" s="164"/>
      <c r="Q16" s="164"/>
      <c r="R16" s="164"/>
      <c r="S16" s="164"/>
      <c r="T16" s="164"/>
    </row>
    <row r="17" spans="1:20" s="94" customFormat="1" ht="18" customHeight="1">
      <c r="A17" s="639"/>
      <c r="B17" s="639"/>
      <c r="C17" s="639"/>
      <c r="D17" s="639"/>
      <c r="E17" s="639"/>
      <c r="F17" s="639"/>
      <c r="G17" s="639"/>
      <c r="H17" s="639"/>
      <c r="I17" s="639"/>
      <c r="J17" s="639"/>
      <c r="K17" s="639"/>
      <c r="L17" s="290"/>
      <c r="M17" s="291"/>
      <c r="N17" s="291"/>
      <c r="O17" s="291"/>
      <c r="P17" s="164"/>
      <c r="Q17" s="164"/>
      <c r="R17" s="164"/>
      <c r="S17" s="164"/>
      <c r="T17" s="164"/>
    </row>
    <row r="18" spans="1:20" s="94" customFormat="1" ht="18" customHeight="1">
      <c r="A18" s="639" t="str">
        <f>IF(C8="","",IF(C8="En discontinu","",IF(A14=0,"",IF(C14+E14+G14+I14&lt;&gt;A10,"Il y a une incohérence entre le nombre de mois de salaire et votre décompte de prise en charge.",""))))</f>
        <v/>
      </c>
      <c r="B18" s="639"/>
      <c r="C18" s="639"/>
      <c r="D18" s="639"/>
      <c r="E18" s="639"/>
      <c r="F18" s="639"/>
      <c r="G18" s="639"/>
      <c r="H18" s="639"/>
      <c r="I18" s="639"/>
      <c r="J18" s="639"/>
      <c r="K18" s="639"/>
      <c r="L18" s="292"/>
      <c r="M18" s="164"/>
      <c r="N18" s="164"/>
      <c r="O18" s="164"/>
      <c r="P18" s="164"/>
      <c r="Q18" s="164"/>
      <c r="R18" s="164"/>
      <c r="S18" s="164"/>
      <c r="T18" s="164"/>
    </row>
    <row r="19" spans="1:20" s="409" customFormat="1" ht="18" customHeight="1">
      <c r="A19" s="647" t="str">
        <f>IF(C8="En continu","",IF(C8="","","Pour les formations en discontinu, on utilise la règle des 151h67 mensuelles, afin de déterminer un coût horaire. Dans notre cas le décompte est le suivant :"))</f>
        <v/>
      </c>
      <c r="B19" s="647"/>
      <c r="C19" s="647"/>
      <c r="D19" s="647"/>
      <c r="E19" s="647"/>
      <c r="F19" s="647"/>
      <c r="G19" s="647"/>
      <c r="H19" s="647"/>
      <c r="I19" s="647"/>
      <c r="J19" s="647"/>
      <c r="K19" s="647"/>
      <c r="L19" s="407"/>
      <c r="M19" s="408"/>
      <c r="N19" s="408"/>
      <c r="O19" s="408"/>
      <c r="P19" s="408"/>
      <c r="Q19" s="408"/>
      <c r="R19" s="408"/>
      <c r="S19" s="408"/>
      <c r="T19" s="408"/>
    </row>
    <row r="20" spans="1:20" s="409" customFormat="1" ht="18" customHeight="1">
      <c r="A20" s="647"/>
      <c r="B20" s="647"/>
      <c r="C20" s="647"/>
      <c r="D20" s="647"/>
      <c r="E20" s="647"/>
      <c r="F20" s="647"/>
      <c r="G20" s="647"/>
      <c r="H20" s="647"/>
      <c r="I20" s="647"/>
      <c r="J20" s="647"/>
      <c r="K20" s="647"/>
      <c r="L20" s="407"/>
      <c r="M20" s="408"/>
      <c r="N20" s="408"/>
      <c r="O20" s="408"/>
      <c r="P20" s="408"/>
      <c r="Q20" s="408"/>
      <c r="R20" s="408"/>
      <c r="S20" s="408"/>
      <c r="T20" s="408"/>
    </row>
    <row r="21" spans="1:20" s="409" customFormat="1" ht="18" customHeight="1">
      <c r="A21" s="648" t="str">
        <f>IF(C8="En discontinu","Forfait mensuel","")</f>
        <v/>
      </c>
      <c r="B21" s="648"/>
      <c r="C21" s="410" t="str">
        <f>IF(C8="En discontinu","/","")</f>
        <v/>
      </c>
      <c r="D21" s="648" t="str">
        <f>IF(C8="En discontinu","heures mois","")</f>
        <v/>
      </c>
      <c r="E21" s="648"/>
      <c r="F21" s="410" t="str">
        <f>IF(C8="En discontinu","=","")</f>
        <v/>
      </c>
      <c r="G21" s="639" t="str">
        <f>IF(C8="En discontinu","coût horaire","")</f>
        <v/>
      </c>
      <c r="H21" s="639"/>
      <c r="I21" s="410" t="str">
        <f>IF(C8="En discontinu","X","")</f>
        <v/>
      </c>
      <c r="J21" s="648" t="str">
        <f>IF(C8="En discontinu","heures formation","")</f>
        <v/>
      </c>
      <c r="K21" s="648"/>
      <c r="L21" s="407"/>
      <c r="M21" s="408"/>
      <c r="N21" s="408"/>
      <c r="O21" s="408"/>
      <c r="P21" s="408"/>
      <c r="Q21" s="408"/>
      <c r="R21" s="408"/>
      <c r="S21" s="408"/>
      <c r="T21" s="408"/>
    </row>
    <row r="22" spans="1:20" s="223" customFormat="1" ht="18" customHeight="1" thickBot="1">
      <c r="A22" s="649" t="str">
        <f>IF(C8="En discontinu",VLOOKUP(F5,A104:B118,2),"")</f>
        <v/>
      </c>
      <c r="B22" s="649"/>
      <c r="C22" s="410" t="str">
        <f>IF(C8="En discontinu","/","")</f>
        <v/>
      </c>
      <c r="D22" s="650" t="str">
        <f>IF(C8="En discontinu","151,67","")</f>
        <v/>
      </c>
      <c r="E22" s="650"/>
      <c r="F22" s="411" t="str">
        <f>IF(C8="En discontinu","=","")</f>
        <v/>
      </c>
      <c r="G22" s="651" t="str">
        <f>IF(C8="En discontinu",VLOOKUP(F5,A104:B118,2)/151.67,"")</f>
        <v/>
      </c>
      <c r="H22" s="651"/>
      <c r="I22" s="410" t="str">
        <f>IF(C8="En discontinu","X","")</f>
        <v/>
      </c>
      <c r="J22" s="652" t="str">
        <f>IF(C8="En discontinu",G22*J8,"")</f>
        <v/>
      </c>
      <c r="K22" s="652"/>
      <c r="L22" s="349"/>
      <c r="M22" s="351"/>
      <c r="N22" s="351"/>
      <c r="O22" s="351"/>
      <c r="P22" s="351"/>
      <c r="Q22" s="351"/>
      <c r="R22" s="351"/>
      <c r="S22" s="351"/>
      <c r="T22" s="351"/>
    </row>
    <row r="23" spans="1:20" s="124" customFormat="1" ht="15" customHeight="1">
      <c r="A23" s="643" t="s">
        <v>441</v>
      </c>
      <c r="B23" s="644"/>
      <c r="C23" s="296" t="s">
        <v>337</v>
      </c>
      <c r="D23" s="295"/>
      <c r="E23" s="296" t="s">
        <v>337</v>
      </c>
      <c r="F23" s="297"/>
      <c r="G23" s="296" t="s">
        <v>337</v>
      </c>
      <c r="H23" s="297"/>
      <c r="I23" s="296" t="s">
        <v>337</v>
      </c>
      <c r="J23" s="297"/>
      <c r="K23" s="634" t="s">
        <v>24</v>
      </c>
      <c r="L23" s="293"/>
      <c r="M23" s="294"/>
      <c r="N23" s="294"/>
      <c r="O23" s="294"/>
      <c r="P23" s="294"/>
      <c r="Q23" s="294"/>
      <c r="R23" s="294"/>
      <c r="S23" s="294"/>
      <c r="T23" s="294"/>
    </row>
    <row r="24" spans="1:20" s="124" customFormat="1" ht="54" customHeight="1" thickBot="1">
      <c r="A24" s="645"/>
      <c r="B24" s="646"/>
      <c r="C24" s="125">
        <v>2025</v>
      </c>
      <c r="D24" s="126" t="s">
        <v>0</v>
      </c>
      <c r="E24" s="125">
        <v>2026</v>
      </c>
      <c r="F24" s="127" t="s">
        <v>0</v>
      </c>
      <c r="G24" s="125">
        <v>2027</v>
      </c>
      <c r="H24" s="127" t="s">
        <v>0</v>
      </c>
      <c r="I24" s="125">
        <v>2028</v>
      </c>
      <c r="J24" s="127" t="s">
        <v>0</v>
      </c>
      <c r="K24" s="635"/>
      <c r="L24" s="293"/>
      <c r="M24" s="294"/>
      <c r="N24" s="294"/>
      <c r="O24" s="294"/>
      <c r="P24" s="294"/>
      <c r="Q24" s="294"/>
      <c r="R24" s="294"/>
      <c r="S24" s="294"/>
      <c r="T24" s="294"/>
    </row>
    <row r="25" spans="1:20" s="124" customFormat="1" ht="18" customHeight="1" thickBot="1">
      <c r="A25" s="640" t="str">
        <f>IF(C8="En discontinu",VLOOKUP(F5,A104:B118,2),"")</f>
        <v/>
      </c>
      <c r="B25" s="641"/>
      <c r="C25" s="359"/>
      <c r="D25" s="299" t="str">
        <f>IF(A25="","",SUM(C25*(A25/151.67)))</f>
        <v/>
      </c>
      <c r="E25" s="359"/>
      <c r="F25" s="299" t="str">
        <f>IF(A25="","",SUM(E25*(A25/151.67)))</f>
        <v/>
      </c>
      <c r="G25" s="359"/>
      <c r="H25" s="299" t="str">
        <f>IF(A25="","",SUM(G25*(A25/151.67)))</f>
        <v/>
      </c>
      <c r="I25" s="359"/>
      <c r="J25" s="299" t="str">
        <f>IF(A25="","",SUM(I25*(A25/151.67)))</f>
        <v/>
      </c>
      <c r="K25" s="300" t="str">
        <f>IF(A25="","",SUM(D25+F25+H25+J25))</f>
        <v/>
      </c>
      <c r="L25" s="293"/>
      <c r="M25" s="294"/>
      <c r="N25" s="294"/>
      <c r="O25" s="294"/>
      <c r="P25" s="294"/>
      <c r="Q25" s="294"/>
      <c r="R25" s="294"/>
      <c r="S25" s="294"/>
      <c r="T25" s="294"/>
    </row>
    <row r="26" spans="1:20" ht="18" customHeight="1">
      <c r="L26" s="167"/>
    </row>
    <row r="27" spans="1:20" s="167" customFormat="1" ht="36" customHeight="1">
      <c r="A27" s="642" t="str">
        <f>IF(C8="","",IF(C8="En continu","",IF(A25=0,"",IF(C25+E25+G25+I25&lt;&gt;A10,"Il y a une incohérence entre le nombre d'heures de la formation et votre décompte de prise en charge.",""))))</f>
        <v/>
      </c>
      <c r="B27" s="642"/>
      <c r="C27" s="642"/>
      <c r="D27" s="642"/>
      <c r="E27" s="642"/>
      <c r="F27" s="642"/>
      <c r="G27" s="642"/>
      <c r="H27" s="642"/>
      <c r="I27" s="642"/>
      <c r="J27" s="642"/>
      <c r="K27" s="642"/>
    </row>
    <row r="28" spans="1:20" s="167" customFormat="1"/>
    <row r="29" spans="1:20" s="167" customFormat="1"/>
    <row r="30" spans="1:20" s="167" customFormat="1"/>
    <row r="31" spans="1:20" s="167" customFormat="1"/>
    <row r="32" spans="1:20" s="167" customFormat="1"/>
    <row r="33" spans="12:20" s="167" customFormat="1"/>
    <row r="34" spans="12:20" s="167" customFormat="1"/>
    <row r="35" spans="12:20" s="167" customFormat="1"/>
    <row r="36" spans="12:20" s="167" customFormat="1">
      <c r="L36" s="168"/>
    </row>
    <row r="37" spans="12:20" s="167" customFormat="1">
      <c r="L37" s="168"/>
    </row>
    <row r="38" spans="12:20" s="167" customFormat="1">
      <c r="L38" s="168"/>
    </row>
    <row r="39" spans="12:20" s="167" customFormat="1">
      <c r="L39" s="168"/>
    </row>
    <row r="40" spans="12:20" s="167" customFormat="1">
      <c r="L40" s="168"/>
    </row>
    <row r="41" spans="12:20" s="167" customFormat="1">
      <c r="L41" s="168"/>
    </row>
    <row r="42" spans="12:20" s="167" customFormat="1">
      <c r="L42" s="168"/>
    </row>
    <row r="43" spans="12:20" s="167" customFormat="1">
      <c r="L43" s="168"/>
    </row>
    <row r="44" spans="12:20" s="167" customFormat="1">
      <c r="L44" s="168"/>
    </row>
    <row r="45" spans="12:20" s="167" customFormat="1">
      <c r="L45" s="168"/>
    </row>
    <row r="46" spans="12:20" s="10" customFormat="1">
      <c r="L46" s="168"/>
      <c r="M46" s="167"/>
      <c r="N46" s="167"/>
      <c r="O46" s="167"/>
      <c r="P46" s="167"/>
      <c r="Q46" s="167"/>
      <c r="R46" s="167"/>
      <c r="S46" s="167"/>
      <c r="T46" s="167"/>
    </row>
    <row r="47" spans="12:20" s="10" customFormat="1">
      <c r="L47" s="168"/>
      <c r="M47" s="167"/>
      <c r="N47" s="167"/>
      <c r="O47" s="167"/>
      <c r="P47" s="167"/>
      <c r="Q47" s="167"/>
      <c r="R47" s="167"/>
      <c r="S47" s="167"/>
      <c r="T47" s="167"/>
    </row>
    <row r="48" spans="12:20" s="10" customFormat="1">
      <c r="L48" s="168"/>
      <c r="M48" s="167"/>
      <c r="N48" s="167"/>
      <c r="O48" s="167"/>
      <c r="P48" s="167"/>
      <c r="Q48" s="167"/>
      <c r="R48" s="167"/>
      <c r="S48" s="167"/>
      <c r="T48" s="167"/>
    </row>
    <row r="49" spans="1:20" s="10" customFormat="1">
      <c r="L49" s="168"/>
      <c r="M49" s="167"/>
      <c r="N49" s="167"/>
      <c r="O49" s="167"/>
      <c r="P49" s="167"/>
      <c r="Q49" s="167"/>
      <c r="R49" s="167"/>
      <c r="S49" s="167"/>
      <c r="T49" s="167"/>
    </row>
    <row r="50" spans="1:20" s="10" customFormat="1">
      <c r="L50" s="168"/>
      <c r="M50" s="167"/>
      <c r="N50" s="167"/>
      <c r="O50" s="167"/>
      <c r="P50" s="167"/>
      <c r="Q50" s="167"/>
      <c r="R50" s="167"/>
      <c r="S50" s="167"/>
      <c r="T50" s="167"/>
    </row>
    <row r="51" spans="1:20" s="10" customFormat="1">
      <c r="L51" s="168"/>
      <c r="M51" s="167"/>
      <c r="N51" s="167"/>
      <c r="O51" s="167"/>
      <c r="P51" s="167"/>
      <c r="Q51" s="167"/>
      <c r="R51" s="167"/>
      <c r="S51" s="167"/>
      <c r="T51" s="167"/>
    </row>
    <row r="52" spans="1:20" s="10" customFormat="1">
      <c r="L52" s="168"/>
      <c r="M52" s="167"/>
      <c r="N52" s="167"/>
      <c r="O52" s="167"/>
      <c r="P52" s="167"/>
      <c r="Q52" s="167"/>
      <c r="R52" s="167"/>
      <c r="S52" s="167"/>
      <c r="T52" s="167"/>
    </row>
    <row r="53" spans="1:20" s="10" customFormat="1">
      <c r="L53" s="168"/>
      <c r="M53" s="167"/>
      <c r="N53" s="167"/>
      <c r="O53" s="167"/>
      <c r="P53" s="167"/>
      <c r="Q53" s="167"/>
      <c r="R53" s="167"/>
      <c r="S53" s="167"/>
      <c r="T53" s="167"/>
    </row>
    <row r="54" spans="1:20" s="10" customFormat="1">
      <c r="L54" s="168"/>
      <c r="M54" s="167"/>
      <c r="N54" s="167"/>
      <c r="O54" s="167"/>
      <c r="P54" s="167"/>
      <c r="Q54" s="167"/>
      <c r="R54" s="167"/>
      <c r="S54" s="167"/>
      <c r="T54" s="167"/>
    </row>
    <row r="55" spans="1:20" s="10" customFormat="1">
      <c r="L55" s="168"/>
      <c r="M55" s="167"/>
      <c r="N55" s="167"/>
      <c r="O55" s="167"/>
      <c r="P55" s="167"/>
      <c r="Q55" s="167"/>
      <c r="R55" s="167"/>
      <c r="S55" s="167"/>
      <c r="T55" s="167"/>
    </row>
    <row r="56" spans="1:20" s="10" customFormat="1">
      <c r="L56" s="168"/>
      <c r="M56" s="167"/>
      <c r="N56" s="167"/>
      <c r="O56" s="167"/>
      <c r="P56" s="167"/>
      <c r="Q56" s="167"/>
      <c r="R56" s="167"/>
      <c r="S56" s="167"/>
      <c r="T56" s="167"/>
    </row>
    <row r="57" spans="1:20" s="10" customFormat="1">
      <c r="L57" s="168"/>
      <c r="M57" s="167"/>
      <c r="N57" s="167"/>
      <c r="O57" s="167"/>
      <c r="P57" s="167"/>
      <c r="Q57" s="167"/>
      <c r="R57" s="167"/>
      <c r="S57" s="167"/>
      <c r="T57" s="167"/>
    </row>
    <row r="58" spans="1:20" s="10" customFormat="1">
      <c r="L58" s="355"/>
    </row>
    <row r="59" spans="1:20" s="10" customFormat="1">
      <c r="L59" s="355"/>
    </row>
    <row r="60" spans="1:20" s="10" customFormat="1">
      <c r="L60" s="355"/>
    </row>
    <row r="61" spans="1:20" s="10" customFormat="1">
      <c r="L61" s="355"/>
    </row>
    <row r="62" spans="1:20" s="10" customFormat="1"/>
    <row r="63" spans="1:20" s="10" customFormat="1" ht="22.8">
      <c r="A63" s="638" t="s">
        <v>146</v>
      </c>
      <c r="B63" s="638"/>
      <c r="C63" s="638"/>
      <c r="D63" s="638"/>
      <c r="E63" s="638"/>
      <c r="F63" s="638"/>
      <c r="G63" s="638"/>
      <c r="H63" s="638"/>
      <c r="I63" s="638"/>
      <c r="J63" s="638"/>
      <c r="K63" s="374" t="str">
        <f>IF(DAPEC!C45&lt;45504,"1er semestre","2e semestre")</f>
        <v>1er semestre</v>
      </c>
      <c r="L63" s="373" t="s">
        <v>459</v>
      </c>
      <c r="M63" s="375" t="s">
        <v>460</v>
      </c>
      <c r="N63" s="376"/>
    </row>
    <row r="64" spans="1:20" s="10" customFormat="1">
      <c r="A64" s="377" t="s">
        <v>343</v>
      </c>
      <c r="B64" s="378"/>
      <c r="C64" s="378"/>
      <c r="D64" s="378"/>
      <c r="E64" s="378"/>
      <c r="F64" s="378"/>
      <c r="G64" s="378"/>
      <c r="H64" s="378"/>
      <c r="I64" s="378"/>
      <c r="J64" s="378"/>
      <c r="K64" s="378"/>
      <c r="L64" s="378">
        <v>650</v>
      </c>
      <c r="M64" s="379">
        <v>4</v>
      </c>
      <c r="N64" s="376" t="str">
        <f>IF(DAPEC!A17="Brevet d'État d'Animateur Technicien de la jeunesse et de l’Éducation Populaire - BEATEP",2000,"")</f>
        <v/>
      </c>
    </row>
    <row r="65" spans="1:14" s="10" customFormat="1">
      <c r="A65" s="377" t="s">
        <v>4</v>
      </c>
      <c r="B65" s="378"/>
      <c r="C65" s="378"/>
      <c r="D65" s="378"/>
      <c r="E65" s="378"/>
      <c r="F65" s="378"/>
      <c r="G65" s="378"/>
      <c r="H65" s="378"/>
      <c r="I65" s="378"/>
      <c r="J65" s="378"/>
      <c r="K65" s="378"/>
      <c r="L65" s="378">
        <v>1585</v>
      </c>
      <c r="M65" s="379">
        <v>10</v>
      </c>
      <c r="N65" s="376" t="str">
        <f>IF(DAPEC!A17="Brevet Professionnel de la Jeunesse, de l'Éducation Populaire et du Sport - BPJEPS",2000,"")</f>
        <v/>
      </c>
    </row>
    <row r="66" spans="1:14" s="10" customFormat="1">
      <c r="A66" s="377" t="s">
        <v>5</v>
      </c>
      <c r="B66" s="378"/>
      <c r="C66" s="378"/>
      <c r="D66" s="378"/>
      <c r="E66" s="378"/>
      <c r="F66" s="378"/>
      <c r="G66" s="378"/>
      <c r="H66" s="378"/>
      <c r="I66" s="378"/>
      <c r="J66" s="378"/>
      <c r="K66" s="378"/>
      <c r="L66" s="378">
        <v>820</v>
      </c>
      <c r="M66" s="379">
        <v>5</v>
      </c>
      <c r="N66" s="376" t="str">
        <f>IF(DAPEC!A17="Certificat d'Aptitude aux Fonctions d'Encadrement et de Responsable d'Unité d'Intervention Sociale - CAFERUIS",2000,"")</f>
        <v/>
      </c>
    </row>
    <row r="67" spans="1:14" s="10" customFormat="1">
      <c r="A67" s="377" t="s">
        <v>1</v>
      </c>
      <c r="B67" s="378"/>
      <c r="C67" s="378"/>
      <c r="D67" s="378"/>
      <c r="E67" s="378"/>
      <c r="F67" s="378"/>
      <c r="G67" s="378"/>
      <c r="H67" s="378"/>
      <c r="I67" s="378"/>
      <c r="J67" s="378"/>
      <c r="K67" s="378"/>
      <c r="L67" s="378">
        <v>4620</v>
      </c>
      <c r="M67" s="379">
        <v>30</v>
      </c>
      <c r="N67" s="376" t="str">
        <f>IF(DAPEC!A17="Certificat de capacité d'orthophoniste ",6000,"")</f>
        <v/>
      </c>
    </row>
    <row r="68" spans="1:14" s="10" customFormat="1">
      <c r="A68" s="377" t="s">
        <v>2</v>
      </c>
      <c r="B68" s="378"/>
      <c r="C68" s="378"/>
      <c r="D68" s="378"/>
      <c r="E68" s="378"/>
      <c r="F68" s="378"/>
      <c r="G68" s="378"/>
      <c r="H68" s="378"/>
      <c r="I68" s="378"/>
      <c r="J68" s="378"/>
      <c r="K68" s="378"/>
      <c r="L68" s="378">
        <v>3368</v>
      </c>
      <c r="M68" s="379">
        <v>22</v>
      </c>
      <c r="N68" s="376" t="str">
        <f>IF(DAPEC!A17="Certificat de capacité d'orthoptiste ",4000,"")</f>
        <v/>
      </c>
    </row>
    <row r="69" spans="1:14" s="10" customFormat="1">
      <c r="A69" s="377" t="s">
        <v>440</v>
      </c>
      <c r="B69" s="378"/>
      <c r="C69" s="378"/>
      <c r="D69" s="378"/>
      <c r="E69" s="378"/>
      <c r="F69" s="378"/>
      <c r="G69" s="378"/>
      <c r="H69" s="378"/>
      <c r="I69" s="378"/>
      <c r="J69" s="378"/>
      <c r="K69" s="378"/>
      <c r="L69" s="378">
        <v>1365</v>
      </c>
      <c r="M69" s="379">
        <v>9</v>
      </c>
      <c r="N69" s="376" t="str">
        <f>IF(DAPEC!A17="Diplôme d’État d’Accompagnant Éducatif et Social - DEAES",2000,"")</f>
        <v/>
      </c>
    </row>
    <row r="70" spans="1:14" s="10" customFormat="1">
      <c r="A70" s="377" t="s">
        <v>310</v>
      </c>
      <c r="B70" s="378"/>
      <c r="C70" s="378"/>
      <c r="D70" s="378"/>
      <c r="E70" s="378"/>
      <c r="F70" s="378"/>
      <c r="G70" s="378"/>
      <c r="H70" s="378"/>
      <c r="I70" s="378"/>
      <c r="J70" s="378"/>
      <c r="K70" s="378"/>
      <c r="L70" s="378">
        <v>1470</v>
      </c>
      <c r="M70" s="379">
        <v>10</v>
      </c>
      <c r="N70" s="376" t="str">
        <f>IF(DAPEC!A17="Diplôme d'Assistant de Régulation Médicale",2000,"")</f>
        <v/>
      </c>
    </row>
    <row r="71" spans="1:14" s="10" customFormat="1">
      <c r="A71" s="377" t="s">
        <v>23</v>
      </c>
      <c r="B71" s="378"/>
      <c r="C71" s="378"/>
      <c r="D71" s="378"/>
      <c r="E71" s="378"/>
      <c r="F71" s="378"/>
      <c r="G71" s="378"/>
      <c r="H71" s="378"/>
      <c r="I71" s="378"/>
      <c r="J71" s="378"/>
      <c r="K71" s="378"/>
      <c r="L71" s="378">
        <v>1435</v>
      </c>
      <c r="M71" s="379">
        <v>10</v>
      </c>
      <c r="N71" s="376" t="str">
        <f>IF(DAPEC!A17="Diplôme de Cadre de Santé",2000,"")</f>
        <v/>
      </c>
    </row>
    <row r="72" spans="1:14" s="10" customFormat="1">
      <c r="A72" s="377" t="s">
        <v>21</v>
      </c>
      <c r="B72" s="378"/>
      <c r="C72" s="378"/>
      <c r="D72" s="378"/>
      <c r="E72" s="378"/>
      <c r="F72" s="378"/>
      <c r="G72" s="378"/>
      <c r="H72" s="378"/>
      <c r="I72" s="378"/>
      <c r="J72" s="378"/>
      <c r="K72" s="378"/>
      <c r="L72" s="378">
        <v>1365</v>
      </c>
      <c r="M72" s="379">
        <v>10</v>
      </c>
      <c r="N72" s="376" t="str">
        <f>IF(DAPEC!A17="Diplôme de Préparateur en Pharmacie Hospitalière",2000,"")</f>
        <v/>
      </c>
    </row>
    <row r="73" spans="1:14" s="10" customFormat="1">
      <c r="A73" s="377" t="s">
        <v>467</v>
      </c>
      <c r="B73" s="378"/>
      <c r="C73" s="378"/>
      <c r="D73" s="378"/>
      <c r="E73" s="378"/>
      <c r="F73" s="378"/>
      <c r="G73" s="378"/>
      <c r="H73" s="378"/>
      <c r="I73" s="378"/>
      <c r="J73" s="378"/>
      <c r="K73" s="378"/>
      <c r="L73" s="378">
        <v>1365</v>
      </c>
      <c r="M73" s="379">
        <v>9</v>
      </c>
      <c r="N73" s="376" t="str">
        <f>IF(DAPEC!A17="Diplôme d'État d'Aide-Soignant (1365 heures) - DEAS",2000,"")</f>
        <v/>
      </c>
    </row>
    <row r="74" spans="1:14" s="10" customFormat="1">
      <c r="A74" s="377" t="s">
        <v>466</v>
      </c>
      <c r="B74" s="378"/>
      <c r="C74" s="378"/>
      <c r="D74" s="378"/>
      <c r="E74" s="378"/>
      <c r="F74" s="378"/>
      <c r="G74" s="378"/>
      <c r="H74" s="378"/>
      <c r="I74" s="378"/>
      <c r="J74" s="378"/>
      <c r="K74" s="378"/>
      <c r="L74" s="378">
        <v>1540</v>
      </c>
      <c r="M74" s="379">
        <v>10</v>
      </c>
      <c r="N74" s="376" t="str">
        <f>IF(DAPEC!A17="Diplôme d'État d'Aide-Soignant (1540 heures) - DEAS",2000,"")</f>
        <v/>
      </c>
    </row>
    <row r="75" spans="1:14" s="10" customFormat="1">
      <c r="A75" s="377" t="s">
        <v>6</v>
      </c>
      <c r="B75" s="378"/>
      <c r="C75" s="378"/>
      <c r="D75" s="378"/>
      <c r="E75" s="378"/>
      <c r="F75" s="378"/>
      <c r="G75" s="378"/>
      <c r="H75" s="378"/>
      <c r="I75" s="378"/>
      <c r="J75" s="378"/>
      <c r="K75" s="378"/>
      <c r="L75" s="378">
        <v>3530</v>
      </c>
      <c r="M75" s="379">
        <v>23</v>
      </c>
      <c r="N75" s="376" t="str">
        <f>IF(DAPEC!A17="Diplôme d'État d'Assistant de Service Social - DEASS",4000,"")</f>
        <v/>
      </c>
    </row>
    <row r="76" spans="1:14" s="10" customFormat="1">
      <c r="A76" s="377" t="s">
        <v>7</v>
      </c>
      <c r="B76" s="378"/>
      <c r="C76" s="378"/>
      <c r="D76" s="378"/>
      <c r="E76" s="378"/>
      <c r="F76" s="378"/>
      <c r="G76" s="378"/>
      <c r="H76" s="378"/>
      <c r="I76" s="378"/>
      <c r="J76" s="378"/>
      <c r="K76" s="378"/>
      <c r="L76" s="378">
        <v>1540</v>
      </c>
      <c r="M76" s="379">
        <v>10</v>
      </c>
      <c r="N76" s="376" t="str">
        <f>IF(DAPEC!A17="Diplôme d'État d'Auxiliaire de Puériculture - DEAP",2000,"")</f>
        <v/>
      </c>
    </row>
    <row r="77" spans="1:14" s="10" customFormat="1">
      <c r="A77" s="377" t="s">
        <v>309</v>
      </c>
      <c r="B77" s="378"/>
      <c r="C77" s="378"/>
      <c r="D77" s="378"/>
      <c r="E77" s="378"/>
      <c r="F77" s="378"/>
      <c r="G77" s="378"/>
      <c r="H77" s="378"/>
      <c r="I77" s="378"/>
      <c r="J77" s="378"/>
      <c r="K77" s="378"/>
      <c r="L77" s="378">
        <v>1100</v>
      </c>
      <c r="M77" s="379">
        <v>7</v>
      </c>
      <c r="N77" s="376" t="str">
        <f>IF(DAPEC!A17="Diplôme d'État de Conseiller en Économie Sociale et Familiale - DECESF",2000,"")</f>
        <v/>
      </c>
    </row>
    <row r="78" spans="1:14" s="10" customFormat="1">
      <c r="A78" s="377" t="s">
        <v>14</v>
      </c>
      <c r="B78" s="378"/>
      <c r="C78" s="378"/>
      <c r="D78" s="378"/>
      <c r="E78" s="378"/>
      <c r="F78" s="378"/>
      <c r="G78" s="378"/>
      <c r="H78" s="378"/>
      <c r="I78" s="378"/>
      <c r="J78" s="378"/>
      <c r="K78" s="378"/>
      <c r="L78" s="378">
        <v>1200</v>
      </c>
      <c r="M78" s="379">
        <v>8</v>
      </c>
      <c r="N78" s="376" t="str">
        <f>IF(DAPEC!A17="Diplôme d'État de la Jeunesse, de l'Éducation Populaire et du Sport - DEJEPS",2000,"")</f>
        <v/>
      </c>
    </row>
    <row r="79" spans="1:14" s="10" customFormat="1">
      <c r="A79" s="377" t="s">
        <v>15</v>
      </c>
      <c r="B79" s="378"/>
      <c r="C79" s="378"/>
      <c r="D79" s="378"/>
      <c r="E79" s="378"/>
      <c r="F79" s="378"/>
      <c r="G79" s="378"/>
      <c r="H79" s="378"/>
      <c r="I79" s="378"/>
      <c r="J79" s="378"/>
      <c r="K79" s="378"/>
      <c r="L79" s="378">
        <v>4200</v>
      </c>
      <c r="M79" s="379">
        <v>32</v>
      </c>
      <c r="N79" s="376" t="str">
        <f>IF(DAPEC!A17="Diplôme d'État de Manipulateur d'Électroradiologie médicale - DEMER",6000,"")</f>
        <v/>
      </c>
    </row>
    <row r="80" spans="1:14" s="10" customFormat="1">
      <c r="A80" s="377" t="s">
        <v>22</v>
      </c>
      <c r="B80" s="378"/>
      <c r="C80" s="378"/>
      <c r="D80" s="378"/>
      <c r="E80" s="378"/>
      <c r="F80" s="378"/>
      <c r="G80" s="378"/>
      <c r="H80" s="378"/>
      <c r="I80" s="378"/>
      <c r="J80" s="378"/>
      <c r="K80" s="378"/>
      <c r="L80" s="378">
        <v>3450</v>
      </c>
      <c r="M80" s="379">
        <v>23</v>
      </c>
      <c r="N80" s="376" t="str">
        <f>IF(DAPEC!A17="Diplôme d'État de Masseur kinésithérapeute",4000,"")</f>
        <v/>
      </c>
    </row>
    <row r="81" spans="1:14" s="10" customFormat="1">
      <c r="A81" s="377" t="s">
        <v>16</v>
      </c>
      <c r="B81" s="378"/>
      <c r="C81" s="378"/>
      <c r="D81" s="378"/>
      <c r="E81" s="378"/>
      <c r="F81" s="378"/>
      <c r="G81" s="378"/>
      <c r="H81" s="378"/>
      <c r="I81" s="378"/>
      <c r="J81" s="378"/>
      <c r="K81" s="378"/>
      <c r="L81" s="378">
        <v>1930</v>
      </c>
      <c r="M81" s="379">
        <v>13</v>
      </c>
      <c r="N81" s="376" t="str">
        <f>IF(DAPEC!A17="Diplôme d'État de Moniteur Éducateur - DEME",2000,"")</f>
        <v/>
      </c>
    </row>
    <row r="82" spans="1:14" s="10" customFormat="1">
      <c r="A82" s="377" t="s">
        <v>17</v>
      </c>
      <c r="B82" s="378"/>
      <c r="C82" s="378"/>
      <c r="D82" s="378"/>
      <c r="E82" s="378"/>
      <c r="F82" s="378"/>
      <c r="G82" s="378"/>
      <c r="H82" s="378"/>
      <c r="I82" s="378"/>
      <c r="J82" s="378"/>
      <c r="K82" s="378"/>
      <c r="L82" s="378">
        <v>3198</v>
      </c>
      <c r="M82" s="379">
        <v>21</v>
      </c>
      <c r="N82" s="376" t="str">
        <f>IF(DAPEC!A17="Diplôme d'État de Pédicure Podologue",4000,"")</f>
        <v/>
      </c>
    </row>
    <row r="83" spans="1:14" s="10" customFormat="1">
      <c r="A83" s="377" t="s">
        <v>18</v>
      </c>
      <c r="B83" s="378"/>
      <c r="C83" s="378"/>
      <c r="D83" s="378"/>
      <c r="E83" s="378"/>
      <c r="F83" s="378"/>
      <c r="G83" s="378"/>
      <c r="H83" s="378"/>
      <c r="I83" s="378"/>
      <c r="J83" s="378"/>
      <c r="K83" s="378"/>
      <c r="L83" s="378">
        <v>2762</v>
      </c>
      <c r="M83" s="379">
        <v>18</v>
      </c>
      <c r="N83" s="376" t="str">
        <f>IF(DAPEC!A17="Diplôme d'État de Psychomotricien",4000,"")</f>
        <v/>
      </c>
    </row>
    <row r="84" spans="1:14" s="10" customFormat="1">
      <c r="A84" s="377" t="s">
        <v>19</v>
      </c>
      <c r="B84" s="378"/>
      <c r="C84" s="378"/>
      <c r="D84" s="378"/>
      <c r="E84" s="378"/>
      <c r="F84" s="378"/>
      <c r="G84" s="378"/>
      <c r="H84" s="378"/>
      <c r="I84" s="378"/>
      <c r="J84" s="378"/>
      <c r="K84" s="378"/>
      <c r="L84" s="378">
        <v>1500</v>
      </c>
      <c r="M84" s="379">
        <v>10</v>
      </c>
      <c r="N84" s="376" t="str">
        <f>IF(DAPEC!A17="Diplôme d'État de Puéricultrice",2000,"")</f>
        <v/>
      </c>
    </row>
    <row r="85" spans="1:14" s="10" customFormat="1">
      <c r="A85" s="377" t="s">
        <v>20</v>
      </c>
      <c r="B85" s="378"/>
      <c r="C85" s="378"/>
      <c r="D85" s="378"/>
      <c r="E85" s="378"/>
      <c r="F85" s="378"/>
      <c r="G85" s="378"/>
      <c r="H85" s="378"/>
      <c r="I85" s="378"/>
      <c r="J85" s="378"/>
      <c r="K85" s="378"/>
      <c r="L85" s="378">
        <v>9000</v>
      </c>
      <c r="M85" s="379">
        <v>54</v>
      </c>
      <c r="N85" s="376" t="str">
        <f>IF(DAPEC!A17="Diplôme d'État de Sage Femme",8000,"")</f>
        <v/>
      </c>
    </row>
    <row r="86" spans="1:14" s="10" customFormat="1">
      <c r="A86" s="377" t="s">
        <v>308</v>
      </c>
      <c r="B86" s="378"/>
      <c r="C86" s="378"/>
      <c r="D86" s="378"/>
      <c r="E86" s="378"/>
      <c r="F86" s="378"/>
      <c r="G86" s="378"/>
      <c r="H86" s="378"/>
      <c r="I86" s="378"/>
      <c r="J86" s="378"/>
      <c r="K86" s="378"/>
      <c r="L86" s="378">
        <v>3423</v>
      </c>
      <c r="M86" s="379">
        <v>23</v>
      </c>
      <c r="N86" s="376" t="str">
        <f>IF(DAPEC!A17="Diplôme d'État de Technicien en analyses biomédicales",4000,"")</f>
        <v/>
      </c>
    </row>
    <row r="87" spans="1:14" s="10" customFormat="1">
      <c r="A87" s="377" t="s">
        <v>8</v>
      </c>
      <c r="B87" s="378"/>
      <c r="C87" s="378"/>
      <c r="D87" s="378"/>
      <c r="E87" s="378"/>
      <c r="F87" s="378"/>
      <c r="G87" s="378"/>
      <c r="H87" s="378"/>
      <c r="I87" s="378"/>
      <c r="J87" s="378"/>
      <c r="K87" s="378"/>
      <c r="L87" s="378">
        <v>3600</v>
      </c>
      <c r="M87" s="379">
        <v>24</v>
      </c>
      <c r="N87" s="376" t="str">
        <f>IF(DAPEC!A17="Diplôme d'État d'Éducateur de Jeunes Enfants - DEEJE",4000,"")</f>
        <v/>
      </c>
    </row>
    <row r="88" spans="1:14" s="10" customFormat="1">
      <c r="A88" s="377" t="s">
        <v>10</v>
      </c>
      <c r="B88" s="378"/>
      <c r="C88" s="378"/>
      <c r="D88" s="378"/>
      <c r="E88" s="378"/>
      <c r="F88" s="378"/>
      <c r="G88" s="378"/>
      <c r="H88" s="378"/>
      <c r="I88" s="378"/>
      <c r="J88" s="378"/>
      <c r="K88" s="378"/>
      <c r="L88" s="378">
        <v>3550</v>
      </c>
      <c r="M88" s="379">
        <v>23</v>
      </c>
      <c r="N88" s="376" t="str">
        <f>IF(DAPEC!A17="Diplôme d'État d'Éducateur Spécialisé - DEES",4000,"")</f>
        <v/>
      </c>
    </row>
    <row r="89" spans="1:14" s="10" customFormat="1">
      <c r="A89" s="377" t="s">
        <v>9</v>
      </c>
      <c r="B89" s="378"/>
      <c r="C89" s="378"/>
      <c r="D89" s="378"/>
      <c r="E89" s="378"/>
      <c r="F89" s="378"/>
      <c r="G89" s="378"/>
      <c r="H89" s="378"/>
      <c r="I89" s="378"/>
      <c r="J89" s="378"/>
      <c r="K89" s="378"/>
      <c r="L89" s="378">
        <v>3160</v>
      </c>
      <c r="M89" s="379">
        <v>21</v>
      </c>
      <c r="N89" s="376" t="str">
        <f>IF(DAPEC!A17="Diplôme d'État d'Éducateur Technique Spécialisé - DEETS",4000,"")</f>
        <v/>
      </c>
    </row>
    <row r="90" spans="1:14" s="10" customFormat="1">
      <c r="A90" s="377" t="s">
        <v>3</v>
      </c>
      <c r="B90" s="378"/>
      <c r="C90" s="378"/>
      <c r="D90" s="378"/>
      <c r="E90" s="378"/>
      <c r="F90" s="378"/>
      <c r="G90" s="378"/>
      <c r="H90" s="378"/>
      <c r="I90" s="378"/>
      <c r="J90" s="378"/>
      <c r="K90" s="378"/>
      <c r="L90" s="378">
        <v>3260</v>
      </c>
      <c r="M90" s="379">
        <v>21</v>
      </c>
      <c r="N90" s="376" t="str">
        <f>IF(DAPEC!A17="Diplôme d'État d'Ergothérapeute",4000,"")</f>
        <v/>
      </c>
    </row>
    <row r="91" spans="1:14" s="10" customFormat="1">
      <c r="A91" s="377" t="s">
        <v>13</v>
      </c>
      <c r="B91" s="378"/>
      <c r="C91" s="378"/>
      <c r="D91" s="378"/>
      <c r="E91" s="378"/>
      <c r="F91" s="378"/>
      <c r="G91" s="378"/>
      <c r="H91" s="378"/>
      <c r="I91" s="378"/>
      <c r="J91" s="378"/>
      <c r="K91" s="378"/>
      <c r="L91" s="378">
        <v>4200</v>
      </c>
      <c r="M91" s="379">
        <v>32</v>
      </c>
      <c r="N91" s="376" t="str">
        <f>IF(DAPEC!A17="Diplôme d'État d'Infirmier - IDE",6000,"")</f>
        <v/>
      </c>
    </row>
    <row r="92" spans="1:14" s="10" customFormat="1">
      <c r="A92" s="377" t="s">
        <v>11</v>
      </c>
      <c r="B92" s="378"/>
      <c r="C92" s="378"/>
      <c r="D92" s="378"/>
      <c r="E92" s="378"/>
      <c r="F92" s="378"/>
      <c r="G92" s="378"/>
      <c r="H92" s="378"/>
      <c r="I92" s="378"/>
      <c r="J92" s="378"/>
      <c r="K92" s="378"/>
      <c r="L92" s="378">
        <v>2940</v>
      </c>
      <c r="M92" s="379">
        <v>21</v>
      </c>
      <c r="N92" s="376" t="str">
        <f>IF(DAPEC!A17="Diplôme d'État d'Infirmier Anesthésiste - IADE",4000,"")</f>
        <v/>
      </c>
    </row>
    <row r="93" spans="1:14" s="10" customFormat="1">
      <c r="A93" s="377" t="s">
        <v>12</v>
      </c>
      <c r="B93" s="378"/>
      <c r="C93" s="378"/>
      <c r="D93" s="378"/>
      <c r="E93" s="378"/>
      <c r="F93" s="378"/>
      <c r="G93" s="378"/>
      <c r="H93" s="378"/>
      <c r="I93" s="378"/>
      <c r="J93" s="378"/>
      <c r="K93" s="378"/>
      <c r="L93" s="378">
        <v>3600</v>
      </c>
      <c r="M93" s="379">
        <v>21</v>
      </c>
      <c r="N93" s="376" t="str">
        <f>IF(DAPEC!A17="Diplôme d'État d'Infirmier de Bloc Opératoire - IBODE",4000,"")</f>
        <v/>
      </c>
    </row>
    <row r="94" spans="1:14" s="10" customFormat="1">
      <c r="A94" s="378" t="s">
        <v>344</v>
      </c>
      <c r="B94" s="378"/>
      <c r="C94" s="378"/>
      <c r="D94" s="378"/>
      <c r="E94" s="378"/>
      <c r="F94" s="378"/>
      <c r="G94" s="378"/>
      <c r="H94" s="378"/>
      <c r="I94" s="378"/>
      <c r="J94" s="378"/>
      <c r="K94" s="378"/>
      <c r="L94" s="378">
        <v>3600</v>
      </c>
      <c r="M94" s="379">
        <v>21</v>
      </c>
      <c r="N94" s="376" t="str">
        <f>IF(DAPEC!A17="Diplôme d'État d'Infirmier en pratique avancée - IPA",4000,"")</f>
        <v/>
      </c>
    </row>
    <row r="95" spans="1:14" s="10" customFormat="1">
      <c r="N95" s="380">
        <f>SUM(N64:N94)</f>
        <v>0</v>
      </c>
    </row>
    <row r="96" spans="1:14" s="10" customFormat="1"/>
    <row r="97" spans="1:12" s="10" customFormat="1"/>
    <row r="98" spans="1:12" s="10" customFormat="1"/>
    <row r="99" spans="1:12" s="10" customFormat="1"/>
    <row r="100" spans="1:12" s="10" customFormat="1"/>
    <row r="101" spans="1:12" s="10" customFormat="1"/>
    <row r="102" spans="1:12" s="10" customFormat="1"/>
    <row r="103" spans="1:12" s="10" customFormat="1">
      <c r="A103" s="134" t="s">
        <v>243</v>
      </c>
      <c r="B103" s="381"/>
    </row>
    <row r="104" spans="1:12" s="10" customFormat="1">
      <c r="A104" s="134" t="s">
        <v>412</v>
      </c>
      <c r="B104" s="360">
        <v>3450</v>
      </c>
    </row>
    <row r="105" spans="1:12" s="10" customFormat="1">
      <c r="A105" s="134" t="s">
        <v>238</v>
      </c>
      <c r="B105" s="360">
        <v>3050</v>
      </c>
    </row>
    <row r="106" spans="1:12" s="10" customFormat="1">
      <c r="A106" s="3" t="s">
        <v>239</v>
      </c>
      <c r="B106" s="360">
        <v>3050</v>
      </c>
      <c r="L106" s="355"/>
    </row>
    <row r="107" spans="1:12" s="10" customFormat="1">
      <c r="A107" s="3" t="s">
        <v>242</v>
      </c>
      <c r="B107" s="360">
        <v>3050</v>
      </c>
      <c r="L107" s="355"/>
    </row>
    <row r="108" spans="1:12" s="10" customFormat="1">
      <c r="A108" s="3" t="s">
        <v>240</v>
      </c>
      <c r="B108" s="360">
        <v>3450</v>
      </c>
      <c r="L108" s="355"/>
    </row>
    <row r="109" spans="1:12" s="10" customFormat="1">
      <c r="A109" s="3" t="s">
        <v>414</v>
      </c>
      <c r="B109" s="360">
        <v>3650</v>
      </c>
      <c r="L109" s="355"/>
    </row>
    <row r="110" spans="1:12" s="10" customFormat="1">
      <c r="A110" s="3" t="s">
        <v>415</v>
      </c>
      <c r="B110" s="360">
        <v>4360</v>
      </c>
      <c r="L110" s="355"/>
    </row>
    <row r="111" spans="1:12" s="10" customFormat="1">
      <c r="A111" s="3" t="s">
        <v>416</v>
      </c>
      <c r="B111" s="360">
        <v>3650</v>
      </c>
      <c r="L111" s="355"/>
    </row>
    <row r="112" spans="1:12" s="10" customFormat="1">
      <c r="A112" s="3" t="s">
        <v>417</v>
      </c>
      <c r="B112" s="360">
        <v>3050</v>
      </c>
      <c r="L112" s="355"/>
    </row>
    <row r="113" spans="1:20" s="10" customFormat="1">
      <c r="A113" s="3" t="s">
        <v>241</v>
      </c>
      <c r="B113" s="360">
        <v>3450</v>
      </c>
      <c r="L113" s="355"/>
    </row>
    <row r="114" spans="1:20" s="10" customFormat="1">
      <c r="A114" s="3" t="s">
        <v>477</v>
      </c>
      <c r="B114" s="360">
        <v>3650</v>
      </c>
      <c r="L114" s="355"/>
    </row>
    <row r="115" spans="1:20" s="10" customFormat="1">
      <c r="A115" s="3" t="s">
        <v>335</v>
      </c>
      <c r="B115" s="360">
        <v>3960</v>
      </c>
      <c r="L115" s="355"/>
    </row>
    <row r="116" spans="1:20" s="10" customFormat="1">
      <c r="A116" s="3" t="s">
        <v>247</v>
      </c>
      <c r="B116" s="360">
        <v>3960</v>
      </c>
      <c r="L116" s="355"/>
    </row>
    <row r="117" spans="1:20" s="10" customFormat="1">
      <c r="A117" s="3" t="s">
        <v>413</v>
      </c>
      <c r="B117" s="360">
        <v>3450</v>
      </c>
      <c r="L117" s="355"/>
    </row>
    <row r="118" spans="1:20" s="10" customFormat="1">
      <c r="A118" s="3" t="s">
        <v>248</v>
      </c>
      <c r="B118" s="360">
        <v>3650</v>
      </c>
      <c r="L118" s="355"/>
    </row>
    <row r="119" spans="1:20" s="10" customFormat="1">
      <c r="L119" s="355"/>
    </row>
    <row r="120" spans="1:20" s="10" customFormat="1">
      <c r="L120" s="355"/>
    </row>
    <row r="121" spans="1:20" s="10" customFormat="1">
      <c r="L121" s="355"/>
    </row>
    <row r="122" spans="1:20" s="10" customFormat="1">
      <c r="L122" s="355"/>
    </row>
    <row r="123" spans="1:20" s="10" customFormat="1">
      <c r="L123" s="168"/>
      <c r="M123" s="167"/>
      <c r="N123" s="167"/>
      <c r="O123" s="167"/>
      <c r="P123" s="167"/>
      <c r="Q123" s="167"/>
      <c r="R123" s="167"/>
      <c r="S123" s="167"/>
      <c r="T123" s="167"/>
    </row>
    <row r="124" spans="1:20" s="10" customFormat="1">
      <c r="L124" s="168"/>
      <c r="M124" s="167"/>
      <c r="N124" s="167"/>
      <c r="O124" s="167"/>
      <c r="P124" s="167"/>
      <c r="Q124" s="167"/>
      <c r="R124" s="167"/>
      <c r="S124" s="167"/>
      <c r="T124" s="167"/>
    </row>
  </sheetData>
  <sheetProtection algorithmName="SHA-512" hashValue="Z3NCC/RaCgEGcILmqB64stELfRw+fOvaNoTwjLLhj7a7Uzj0xgz/0ZX9DVHiBKgIxNFO91KwpDsZeAwpdlmf1A==" saltValue="ucvhnCCLGi/CLZ31w6ngdw==" spinCount="100000" sheet="1" objects="1" scenarios="1"/>
  <sortState xmlns:xlrd2="http://schemas.microsoft.com/office/spreadsheetml/2017/richdata2" ref="A64:N94">
    <sortCondition ref="A64:A94"/>
  </sortState>
  <dataConsolidate/>
  <mergeCells count="34">
    <mergeCell ref="J22:K22"/>
    <mergeCell ref="F5:K5"/>
    <mergeCell ref="A10:E10"/>
    <mergeCell ref="A12:B13"/>
    <mergeCell ref="F10:K10"/>
    <mergeCell ref="F8:I8"/>
    <mergeCell ref="A63:J63"/>
    <mergeCell ref="G21:H21"/>
    <mergeCell ref="A14:B14"/>
    <mergeCell ref="A27:K27"/>
    <mergeCell ref="A16:K17"/>
    <mergeCell ref="A25:B25"/>
    <mergeCell ref="A18:K18"/>
    <mergeCell ref="A23:B24"/>
    <mergeCell ref="K23:K24"/>
    <mergeCell ref="A19:K20"/>
    <mergeCell ref="A21:B21"/>
    <mergeCell ref="A22:B22"/>
    <mergeCell ref="D21:E21"/>
    <mergeCell ref="D22:E22"/>
    <mergeCell ref="G22:H22"/>
    <mergeCell ref="J21:K21"/>
    <mergeCell ref="A1:K1"/>
    <mergeCell ref="A9:K9"/>
    <mergeCell ref="K12:K13"/>
    <mergeCell ref="A11:K11"/>
    <mergeCell ref="A2:K2"/>
    <mergeCell ref="A3:K3"/>
    <mergeCell ref="A4:K4"/>
    <mergeCell ref="A6:K6"/>
    <mergeCell ref="A7:K7"/>
    <mergeCell ref="A5:E5"/>
    <mergeCell ref="A8:B8"/>
    <mergeCell ref="C8:E8"/>
  </mergeCells>
  <dataValidations count="2">
    <dataValidation type="whole" errorStyle="warning" operator="lessThan" allowBlank="1" showInputMessage="1" showErrorMessage="1" error="Voir cas particulier : La prise en charge ne peut excéder 11 mois par année civile." sqref="E14" xr:uid="{00000000-0002-0000-0800-000000000000}">
      <formula1>12</formula1>
    </dataValidation>
    <dataValidation type="whole" operator="lessThan" allowBlank="1" showInputMessage="1" showErrorMessage="1" error="Voir cas particulier : La prise en charge ne peut excéder 11 mois par année civile." sqref="G14" xr:uid="{00000000-0002-0000-0800-000001000000}">
      <formula1>12</formula1>
    </dataValidation>
  </dataValidations>
  <pageMargins left="0" right="0" top="0" bottom="0" header="0.11811023622047245" footer="0"/>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14</vt:i4>
      </vt:variant>
    </vt:vector>
  </HeadingPairs>
  <TitlesOfParts>
    <vt:vector size="25" baseType="lpstr">
      <vt:lpstr>Politique</vt:lpstr>
      <vt:lpstr>DAPEC</vt:lpstr>
      <vt:lpstr>CPF</vt:lpstr>
      <vt:lpstr>Déplacement Forfait</vt:lpstr>
      <vt:lpstr>Déplacement 2025</vt:lpstr>
      <vt:lpstr>Déplacement 2026</vt:lpstr>
      <vt:lpstr>Déplacement 2027</vt:lpstr>
      <vt:lpstr>Déplacement 2028</vt:lpstr>
      <vt:lpstr>Traitement</vt:lpstr>
      <vt:lpstr>Enseignement</vt:lpstr>
      <vt:lpstr>Répartition financière</vt:lpstr>
      <vt:lpstr>CPF!Priorité</vt:lpstr>
      <vt:lpstr>Priorité</vt:lpstr>
      <vt:lpstr>SELECTIONNER_VOTRE_ETABLISSEMENT_DANS_LA_LISTE</vt:lpstr>
      <vt:lpstr>CPF!Zone_d_impression</vt:lpstr>
      <vt:lpstr>DAPEC!Zone_d_impression</vt:lpstr>
      <vt:lpstr>'Déplacement 2025'!Zone_d_impression</vt:lpstr>
      <vt:lpstr>'Déplacement 2026'!Zone_d_impression</vt:lpstr>
      <vt:lpstr>'Déplacement 2027'!Zone_d_impression</vt:lpstr>
      <vt:lpstr>'Déplacement 2028'!Zone_d_impression</vt:lpstr>
      <vt:lpstr>'Déplacement Forfait'!Zone_d_impression</vt:lpstr>
      <vt:lpstr>Enseignement!Zone_d_impression</vt:lpstr>
      <vt:lpstr>Politique!Zone_d_impression</vt:lpstr>
      <vt:lpstr>'Répartition financière'!Zone_d_impression</vt:lpstr>
      <vt:lpstr>Traitement!Zone_d_impression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HIRIGOYEN Pantxika</cp:lastModifiedBy>
  <cp:lastPrinted>2024-09-27T09:43:50Z</cp:lastPrinted>
  <dcterms:created xsi:type="dcterms:W3CDTF">2004-04-01T08:31:50Z</dcterms:created>
  <dcterms:modified xsi:type="dcterms:W3CDTF">2025-03-25T07:17:38Z</dcterms:modified>
</cp:coreProperties>
</file>